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13_ncr:1_{AD5D09FF-D53B-45CD-A5C1-FF5DF4BDD325}" xr6:coauthVersionLast="47" xr6:coauthVersionMax="47" xr10:uidLastSave="{00000000-0000-0000-0000-000000000000}"/>
  <bookViews>
    <workbookView xWindow="-108" yWindow="-108" windowWidth="23256" windowHeight="12456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state="hidden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2" l="1"/>
  <c r="M27" i="12"/>
  <c r="M26" i="12"/>
  <c r="M22" i="12"/>
  <c r="M21" i="12"/>
  <c r="M20" i="12"/>
  <c r="M14" i="12"/>
  <c r="M35" i="12"/>
  <c r="M31" i="12"/>
  <c r="M25" i="12"/>
  <c r="M24" i="12"/>
  <c r="M23" i="12"/>
  <c r="M18" i="12"/>
  <c r="M17" i="12"/>
  <c r="H35" i="12"/>
  <c r="E35" i="12"/>
  <c r="H31" i="12"/>
  <c r="E31" i="12"/>
  <c r="H28" i="12"/>
  <c r="E28" i="12"/>
  <c r="H26" i="12"/>
  <c r="E26" i="12"/>
  <c r="H22" i="12"/>
  <c r="E22" i="12"/>
  <c r="H18" i="12"/>
  <c r="E18" i="12"/>
  <c r="H14" i="12"/>
  <c r="E14" i="12"/>
  <c r="M28" i="11"/>
  <c r="M27" i="11"/>
  <c r="M26" i="11"/>
  <c r="M22" i="11"/>
  <c r="M21" i="11"/>
  <c r="M20" i="11"/>
  <c r="M14" i="11"/>
  <c r="M35" i="11"/>
  <c r="M31" i="11"/>
  <c r="M25" i="11"/>
  <c r="M24" i="11"/>
  <c r="M23" i="11"/>
  <c r="M18" i="11"/>
  <c r="M17" i="11"/>
  <c r="H35" i="11"/>
  <c r="E35" i="11"/>
  <c r="H31" i="11"/>
  <c r="E31" i="11"/>
  <c r="H28" i="11"/>
  <c r="E28" i="11"/>
  <c r="H26" i="11"/>
  <c r="E26" i="11"/>
  <c r="H22" i="11"/>
  <c r="E22" i="11"/>
  <c r="H18" i="11"/>
  <c r="E18" i="11"/>
  <c r="H14" i="11"/>
  <c r="E14" i="11"/>
  <c r="M28" i="10"/>
  <c r="M27" i="10"/>
  <c r="M26" i="10"/>
  <c r="M22" i="10"/>
  <c r="M21" i="10"/>
  <c r="M20" i="10"/>
  <c r="M14" i="10"/>
  <c r="M35" i="10"/>
  <c r="M31" i="10"/>
  <c r="M25" i="10"/>
  <c r="M24" i="10"/>
  <c r="M23" i="10"/>
  <c r="M18" i="10"/>
  <c r="M17" i="10"/>
  <c r="H35" i="10"/>
  <c r="E35" i="10"/>
  <c r="H31" i="10"/>
  <c r="E31" i="10"/>
  <c r="H28" i="10"/>
  <c r="E28" i="10"/>
  <c r="H26" i="10"/>
  <c r="E26" i="10"/>
  <c r="H22" i="10"/>
  <c r="E22" i="10"/>
  <c r="H18" i="10"/>
  <c r="E18" i="10"/>
  <c r="H14" i="10"/>
  <c r="E14" i="10"/>
  <c r="M28" i="9"/>
  <c r="M27" i="9"/>
  <c r="M26" i="9"/>
  <c r="M22" i="9"/>
  <c r="M21" i="9"/>
  <c r="M20" i="9"/>
  <c r="M14" i="9"/>
  <c r="M35" i="9"/>
  <c r="M31" i="9"/>
  <c r="M25" i="9"/>
  <c r="M24" i="9"/>
  <c r="M23" i="9"/>
  <c r="M18" i="9"/>
  <c r="M17" i="9"/>
  <c r="H35" i="9"/>
  <c r="E35" i="9"/>
  <c r="H31" i="9"/>
  <c r="E31" i="9"/>
  <c r="H28" i="9"/>
  <c r="E28" i="9"/>
  <c r="H26" i="9"/>
  <c r="E26" i="9"/>
  <c r="H22" i="9"/>
  <c r="E22" i="9"/>
  <c r="H18" i="9"/>
  <c r="E18" i="9"/>
  <c r="H14" i="9"/>
  <c r="E14" i="9"/>
  <c r="M28" i="7"/>
  <c r="M27" i="7"/>
  <c r="M26" i="7"/>
  <c r="M22" i="7"/>
  <c r="M21" i="7"/>
  <c r="M20" i="7"/>
  <c r="M14" i="7"/>
  <c r="M35" i="7"/>
  <c r="M31" i="7"/>
  <c r="M25" i="7"/>
  <c r="M24" i="7"/>
  <c r="M23" i="7"/>
  <c r="M18" i="7"/>
  <c r="M17" i="7"/>
  <c r="H35" i="7"/>
  <c r="E35" i="7"/>
  <c r="H31" i="7"/>
  <c r="E31" i="7"/>
  <c r="H28" i="7"/>
  <c r="E28" i="7"/>
  <c r="H26" i="7"/>
  <c r="E26" i="7"/>
  <c r="H22" i="7"/>
  <c r="E22" i="7"/>
  <c r="H18" i="7"/>
  <c r="E18" i="7"/>
  <c r="H14" i="7"/>
  <c r="E14" i="7"/>
  <c r="M28" i="5"/>
  <c r="M27" i="5"/>
  <c r="M26" i="5"/>
  <c r="M22" i="5"/>
  <c r="M21" i="5"/>
  <c r="M20" i="5"/>
  <c r="M14" i="5"/>
  <c r="M35" i="5"/>
  <c r="M31" i="5"/>
  <c r="M25" i="5"/>
  <c r="M24" i="5"/>
  <c r="M23" i="5"/>
  <c r="M18" i="5"/>
  <c r="M17" i="5"/>
  <c r="H35" i="5"/>
  <c r="E35" i="5"/>
  <c r="H31" i="5"/>
  <c r="E31" i="5"/>
  <c r="H28" i="5"/>
  <c r="E28" i="5"/>
  <c r="H26" i="5"/>
  <c r="E26" i="5"/>
  <c r="H22" i="5"/>
  <c r="E22" i="5"/>
  <c r="H18" i="5"/>
  <c r="E18" i="5"/>
  <c r="H14" i="5"/>
  <c r="E14" i="5"/>
  <c r="M25" i="48"/>
  <c r="M24" i="48"/>
  <c r="M23" i="48"/>
  <c r="M17" i="48"/>
  <c r="M27" i="48"/>
  <c r="M21" i="48"/>
  <c r="M20" i="48"/>
  <c r="M25" i="21"/>
  <c r="M24" i="21"/>
  <c r="M23" i="21"/>
  <c r="M17" i="21"/>
  <c r="M27" i="21"/>
  <c r="M21" i="21"/>
  <c r="M20" i="21"/>
  <c r="M25" i="20"/>
  <c r="M24" i="20"/>
  <c r="M23" i="20"/>
  <c r="M17" i="20"/>
  <c r="M27" i="20"/>
  <c r="M21" i="20"/>
  <c r="M20" i="20"/>
  <c r="M25" i="8"/>
  <c r="M24" i="8"/>
  <c r="M23" i="8"/>
  <c r="M17" i="8"/>
  <c r="M27" i="8"/>
  <c r="M21" i="8"/>
  <c r="M20" i="8"/>
  <c r="J20" i="65"/>
  <c r="M32" i="66"/>
  <c r="M25" i="66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E28" i="18" s="1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E14" i="19" s="1"/>
  <c r="A48" i="18"/>
  <c r="A47" i="18"/>
  <c r="E14" i="18" s="1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E18" i="18" l="1"/>
  <c r="H14" i="18"/>
  <c r="H22" i="18"/>
  <c r="E35" i="18"/>
  <c r="H28" i="18"/>
  <c r="H26" i="18"/>
  <c r="E31" i="18"/>
  <c r="E18" i="19"/>
  <c r="H14" i="19"/>
  <c r="E35" i="19"/>
  <c r="H26" i="19"/>
  <c r="H22" i="19"/>
  <c r="E31" i="19"/>
  <c r="H28" i="19"/>
  <c r="H22" i="15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8" i="18" s="1"/>
  <c r="H11" i="18"/>
  <c r="A43" i="18"/>
  <c r="H35" i="18" s="1"/>
  <c r="A44" i="18"/>
  <c r="H31" i="18" s="1"/>
  <c r="A45" i="18"/>
  <c r="E26" i="18" s="1"/>
  <c r="A46" i="18"/>
  <c r="E22" i="18" s="1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H18" i="19" s="1"/>
  <c r="A42" i="19"/>
  <c r="E28" i="19" s="1"/>
  <c r="A43" i="19"/>
  <c r="H35" i="19" s="1"/>
  <c r="A44" i="19"/>
  <c r="H31" i="19" s="1"/>
  <c r="A45" i="19"/>
  <c r="E26" i="19" s="1"/>
  <c r="A46" i="19"/>
  <c r="E22" i="19" s="1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<sst xmlns="http://schemas.openxmlformats.org/spreadsheetml/2006/main" count="3298" uniqueCount="384">
  <si>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</si>
  <si>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</si>
  <si>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</si>
  <si>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</si>
  <si>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</si>
  <si>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</si>
  <si>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</si>
  <si>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</si>
  <si>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</si>
  <si>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</si>
  <si>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</si>
  <si>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</si>
  <si>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</si>
  <si>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</si>
  <si>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</si>
  <si>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</si>
  <si>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</si>
  <si>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</si>
  <si>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</si>
  <si>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</si>
  <si>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</si>
  <si>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</si>
  <si>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</si>
  <si>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</si>
  <si>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</si>
  <si>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</si>
  <si>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</si>
  <si>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</si>
  <si>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</si>
  <si>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</si>
  <si>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</si>
  <si>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</si>
  <si>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</si>
  <si>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</si>
  <si>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</si>
  <si>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</si>
  <si>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</si>
  <si>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</si>
  <si>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</si>
  <si>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</si>
  <si>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</si>
  <si>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</si>
  <si>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</si>
  <si>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</si>
  <si>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</si>
  <si>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</si>
  <si>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</si>
  <si>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</si>
  <si>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</si>
  <si>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</si>
  <si>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</si>
  <si>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</si>
  <si>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</si>
  <si>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</si>
  <si>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</si>
  <si>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</si>
  <si>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</si>
  <si>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</si>
  <si>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</si>
  <si>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</si>
  <si>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</si>
  <si>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</si>
  <si>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</si>
  <si>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</si>
  <si>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</si>
  <si>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</si>
  <si>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</si>
  <si>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</si>
  <si>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</si>
  <si>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</si>
  <si>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</si>
  <si>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</si>
  <si>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</si>
  <si>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</si>
  <si>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</si>
  <si>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</si>
  <si>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</si>
  <si>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</si>
  <si>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</si>
  <si>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</si>
  <si>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</si>
  <si>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</si>
  <si>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</si>
  <si>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</si>
  <si>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</si>
  <si>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</si>
  <si>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</si>
  <si>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</si>
  <si>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</si>
  <si>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</si>
  <si>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</si>
  <si>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</si>
  <si>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</si>
  <si>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</si>
  <si>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</si>
  <si>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</si>
  <si>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</si>
  <si>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</si>
  <si>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</si>
  <si>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</si>
  <si>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</si>
  <si>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</si>
  <si>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</si>
  <si>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</si>
  <si>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</si>
  <si>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</si>
  <si>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</si>
  <si>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</si>
  <si>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</si>
  <si>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</si>
  <si>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</si>
  <si>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</si>
  <si>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</si>
  <si>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</si>
  <si>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</si>
  <si>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</si>
  <si>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</si>
  <si>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</si>
  <si>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</si>
  <si>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</si>
  <si>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</si>
  <si>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</si>
  <si>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</si>
  <si>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</si>
  <si>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</si>
  <si>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</si>
  <si>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</si>
  <si>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</si>
  <si>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</si>
  <si>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</si>
  <si>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</si>
  <si>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</si>
  <si>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</si>
  <si>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</si>
  <si>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</si>
  <si>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</si>
  <si>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</si>
  <si>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</si>
  <si>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</si>
  <si>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</si>
  <si>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</si>
  <si>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</si>
  <si>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</si>
  <si>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</si>
  <si>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</si>
  <si>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</si>
  <si>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</si>
  <si>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</si>
  <si>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Maria J7</t>
  </si>
  <si>
    <t>Eglantier-V J2</t>
  </si>
  <si>
    <t>Mgr. Bekkers</t>
  </si>
  <si>
    <t>Leo Boer</t>
  </si>
  <si>
    <t>Ruud Bakas</t>
  </si>
  <si>
    <t>Ton Haanappel</t>
  </si>
  <si>
    <t>Gerard Zoet</t>
  </si>
  <si>
    <t>Freinet G1</t>
  </si>
  <si>
    <t>Gabriël G1</t>
  </si>
  <si>
    <t>Horizon G1</t>
  </si>
  <si>
    <t>Schatkaart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</si>
  <si>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</si>
  <si>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</si>
  <si>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</si>
  <si>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</si>
  <si>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</si>
  <si>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</si>
  <si>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</si>
  <si>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</si>
  <si>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</si>
  <si>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</si>
  <si>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</si>
  <si>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</si>
  <si>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</si>
  <si>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</si>
  <si>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</si>
  <si>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</si>
  <si>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</si>
  <si>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</si>
  <si>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</si>
  <si>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</si>
  <si>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</si>
  <si>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</si>
  <si>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</si>
  <si>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</si>
  <si>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</si>
  <si>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</si>
  <si>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</si>
  <si>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</si>
  <si>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</si>
  <si>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</si>
  <si>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</si>
  <si>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</si>
  <si>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</si>
  <si>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</si>
  <si>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</si>
  <si>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</si>
  <si>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</si>
  <si>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</si>
  <si>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</si>
  <si>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</si>
  <si>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</si>
  <si>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</si>
  <si>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</si>
  <si>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</si>
  <si>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</si>
  <si>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</si>
  <si>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</si>
  <si>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</si>
  <si>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</si>
  <si>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</si>
  <si>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</si>
  <si>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</si>
  <si>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</si>
  <si>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</si>
  <si>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</si>
  <si>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</si>
  <si>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</si>
  <si>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</si>
  <si>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</si>
  <si>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</si>
  <si>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</si>
  <si>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</si>
  <si>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</si>
  <si>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</si>
  <si>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</si>
  <si>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</si>
  <si>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</si>
  <si>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</si>
  <si>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</si>
  <si>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</si>
  <si>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</si>
  <si>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</si>
  <si>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</si>
  <si>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</si>
  <si>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</si>
  <si>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</si>
  <si>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</si>
  <si>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</si>
  <si>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</si>
  <si>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</si>
  <si>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</si>
  <si>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</si>
  <si>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</si>
  <si>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</si>
  <si>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</si>
  <si>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</si>
  <si>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</si>
  <si>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</si>
  <si>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</si>
  <si>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</si>
  <si>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</si>
  <si>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</si>
  <si>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</si>
  <si>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</si>
  <si>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</si>
  <si>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</si>
  <si>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</si>
  <si>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</si>
  <si>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</si>
  <si>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</si>
  <si>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</si>
  <si>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</si>
  <si>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</si>
  <si>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</si>
  <si>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</si>
  <si>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</si>
  <si>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</si>
  <si>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</si>
  <si>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</si>
  <si>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</si>
  <si>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</si>
  <si>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</si>
  <si>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Bas Kers</t>
  </si>
  <si>
    <t>Joyce Hupkes</t>
  </si>
  <si>
    <t>John Kortekaas</t>
  </si>
  <si>
    <t>Ruud van Oosten</t>
  </si>
  <si>
    <t>Peter Lips</t>
  </si>
  <si>
    <t xml:space="preserve">Anita Schouten </t>
  </si>
  <si>
    <t xml:space="preserve">Theo Dessens </t>
  </si>
  <si>
    <t>Iris Klein Bog</t>
  </si>
  <si>
    <t>Dion Dingler</t>
  </si>
  <si>
    <t>Marco de Kok</t>
  </si>
  <si>
    <t>Rien Beenen</t>
  </si>
  <si>
    <t>Michel vd Vlist</t>
  </si>
  <si>
    <t>Horizon G2</t>
  </si>
  <si>
    <t>Mozaïek G1</t>
  </si>
  <si>
    <t>Maria M3</t>
  </si>
  <si>
    <t>Maria M4</t>
  </si>
  <si>
    <t>Maria M5</t>
  </si>
  <si>
    <t>Galjoen M2</t>
  </si>
  <si>
    <t>Galjoen M1</t>
  </si>
  <si>
    <t>Springwijs M1</t>
  </si>
  <si>
    <t>Widar M2</t>
  </si>
  <si>
    <t>Maan M1</t>
  </si>
  <si>
    <t>Maan M2</t>
  </si>
  <si>
    <t>Max M2</t>
  </si>
  <si>
    <t>Maurits M1</t>
  </si>
  <si>
    <t>Talent M2</t>
  </si>
  <si>
    <t>Talent M1</t>
  </si>
  <si>
    <t>Bonte Pael M1</t>
  </si>
  <si>
    <t>Freinet M1</t>
  </si>
  <si>
    <t>Gabriël M1</t>
  </si>
  <si>
    <t>Springwijs J3</t>
  </si>
  <si>
    <t>Springwijs J2</t>
  </si>
  <si>
    <t>Galjoen J2</t>
  </si>
  <si>
    <t>Waterhof J2</t>
  </si>
  <si>
    <t>Waterhof J3</t>
  </si>
  <si>
    <t>Talent J5</t>
  </si>
  <si>
    <t>Horizon J1</t>
  </si>
  <si>
    <t>DSV J3</t>
  </si>
  <si>
    <t>Laurentius J1</t>
  </si>
  <si>
    <t>Mgr. Bekkers J1</t>
  </si>
  <si>
    <t>Schatkaart J1</t>
  </si>
  <si>
    <t>Bonte Pael J2</t>
  </si>
  <si>
    <t>Regenboog J2</t>
  </si>
  <si>
    <t>Vermeer J2</t>
  </si>
  <si>
    <t>13e nr. 2</t>
  </si>
  <si>
    <t>Groep 5/6</t>
  </si>
  <si>
    <t>Groep 3/4</t>
  </si>
  <si>
    <t>IBS de Nieuwe Maan</t>
  </si>
  <si>
    <t>Gabriël M3</t>
  </si>
  <si>
    <t>Gabriël M2</t>
  </si>
  <si>
    <t>Talent M3</t>
  </si>
  <si>
    <t>Maan M3</t>
  </si>
  <si>
    <t>Freinet M2</t>
  </si>
  <si>
    <t>Vermeer M1</t>
  </si>
  <si>
    <t>Horizon G3</t>
  </si>
  <si>
    <t>Horizon G4</t>
  </si>
  <si>
    <t>Horizon G5</t>
  </si>
  <si>
    <t>Maria G3</t>
  </si>
  <si>
    <t>Maria G2</t>
  </si>
  <si>
    <t>Cornelis G1</t>
  </si>
  <si>
    <t>Gabriël G2</t>
  </si>
  <si>
    <t>Cornelis G2</t>
  </si>
  <si>
    <t>Springwijs G1</t>
  </si>
  <si>
    <t>Rembrandt G1</t>
  </si>
  <si>
    <t>Springwijs G2</t>
  </si>
  <si>
    <t>Mozaïek G2</t>
  </si>
  <si>
    <t>Eglantier-V G1</t>
  </si>
  <si>
    <t>DSV G1</t>
  </si>
  <si>
    <t>Park G1</t>
  </si>
  <si>
    <t>BMS G1</t>
  </si>
  <si>
    <t>Maan G1</t>
  </si>
  <si>
    <t>Maria J9</t>
  </si>
  <si>
    <t>Maria J10</t>
  </si>
  <si>
    <t>Freinet J4</t>
  </si>
  <si>
    <t>Freinet J5</t>
  </si>
  <si>
    <t>Freinet J6</t>
  </si>
  <si>
    <t>Gabriël J6</t>
  </si>
  <si>
    <t>Freinet J7</t>
  </si>
  <si>
    <t>Gabriël J7</t>
  </si>
  <si>
    <t>Maan J1</t>
  </si>
  <si>
    <t>Maan J2</t>
  </si>
  <si>
    <t>Maan J3</t>
  </si>
  <si>
    <t>Maan J4</t>
  </si>
  <si>
    <t>Maan J5</t>
  </si>
  <si>
    <t>Max J5</t>
  </si>
  <si>
    <t>Max J4</t>
  </si>
  <si>
    <t>Mozaïek J4</t>
  </si>
  <si>
    <t>Regenboog J3</t>
  </si>
  <si>
    <t>Maurits J3</t>
  </si>
  <si>
    <t>M Delft J2</t>
  </si>
  <si>
    <t>Mgr. Bekkers J2</t>
  </si>
  <si>
    <t>Schatkaart J2</t>
  </si>
  <si>
    <t>Eglantier-B J2</t>
  </si>
  <si>
    <t>Talent J6</t>
  </si>
  <si>
    <t>Chris van Noordwijk</t>
  </si>
  <si>
    <t>Frank Maat</t>
  </si>
  <si>
    <t>Cock Smink</t>
  </si>
  <si>
    <t>Dennis vd Geest</t>
  </si>
  <si>
    <t>Marcel den Os</t>
  </si>
  <si>
    <t>Barry Smits</t>
  </si>
  <si>
    <t>Martin van Blitterswijk</t>
  </si>
  <si>
    <t>Frank van Dam</t>
  </si>
  <si>
    <t>Martijn Noordhuizen</t>
  </si>
  <si>
    <t>Andrew Kube</t>
  </si>
  <si>
    <t>Quinten Kube</t>
  </si>
  <si>
    <t>Remco vd Weijde</t>
  </si>
  <si>
    <t>Dik vd Mast</t>
  </si>
  <si>
    <t>Gennaro vd Kan</t>
  </si>
  <si>
    <t>Anita Schouten</t>
  </si>
  <si>
    <t>14e nr. 2</t>
  </si>
  <si>
    <t>1e Poule Q</t>
  </si>
  <si>
    <t>1e Poule R</t>
  </si>
  <si>
    <t>Stefan Sturtz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</si>
</sst>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1"/>
      <color rgb="FF000000"/>
      <name val="Calibri"/>
      <scheme val="minor"/>
    </font>
    <font>
      <sz val="10"/>
      <color rgb="FF000000"/>
      <name val="Arial"/>
    </font>
    <font>
      <sz val="10"/>
      <color indexed="8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8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36" fillId="0" borderId="0"/>
  </cellStyleXfs>
  <cellXfs count="2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20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9" fillId="6" borderId="3" xfId="0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13" xfId="0" applyFont="1" applyFill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37" fillId="0" borderId="19" xfId="1" applyFont="1" applyBorder="1" applyAlignment="1">
      <alignment horizontal="center" vertical="center"/>
    </xf>
    <xf numFmtId="0" fontId="37" fillId="0" borderId="19" xfId="1" applyFont="1" applyBorder="1" applyAlignment="1">
      <alignment horizontal="left" vertical="center"/>
    </xf>
    <xf numFmtId="0" fontId="30" fillId="0" borderId="27" xfId="1" applyFont="1" applyBorder="1" applyAlignment="1">
      <alignment horizontal="center" vertical="center"/>
    </xf>
    <xf numFmtId="0" fontId="31" fillId="5" borderId="28" xfId="0" applyFont="1" applyFill="1" applyBorder="1" applyAlignment="1">
      <alignment vertical="center" wrapText="1"/>
    </xf>
    <xf numFmtId="0" fontId="30" fillId="0" borderId="3" xfId="1" applyFont="1" applyBorder="1" applyAlignment="1">
      <alignment horizontal="center" vertical="center"/>
    </xf>
    <xf numFmtId="0" fontId="2" fillId="2" borderId="0" xfId="0" applyFont="1" applyFill="1"/>
    <xf numFmtId="0" fontId="16" fillId="2" borderId="10" xfId="0" applyFont="1" applyFill="1" applyBorder="1"/>
    <xf numFmtId="0" fontId="16" fillId="0" borderId="0" xfId="0" applyFont="1"/>
    <xf numFmtId="0" fontId="38" fillId="0" borderId="0" xfId="0" applyFont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49" fontId="38" fillId="0" borderId="10" xfId="0" applyNumberFormat="1" applyFont="1" applyBorder="1" applyAlignment="1">
      <alignment horizontal="center" vertical="center"/>
    </xf>
    <xf numFmtId="20" fontId="38" fillId="0" borderId="16" xfId="0" applyNumberFormat="1" applyFont="1" applyBorder="1" applyAlignment="1">
      <alignment horizontal="center" vertical="center"/>
    </xf>
    <xf numFmtId="20" fontId="38" fillId="0" borderId="10" xfId="0" applyNumberFormat="1" applyFont="1" applyBorder="1" applyAlignment="1">
      <alignment horizontal="center" vertical="center"/>
    </xf>
    <xf numFmtId="20" fontId="38" fillId="0" borderId="9" xfId="0" applyNumberFormat="1" applyFont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Normal 2" xfId="1" xr:uid="{4765F481-93DE-4C3B-8EC9-6D65B24926B5}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</dxfs>
  <tableStyles count="2" defaultTableStyle="TableStyleMedium9" defaultPivotStyle="PivotStyleLight16">
    <tableStyle name="Teams4x4-style" pivot="0" count="2" xr9:uid="{006B09A0-CE49-41A9-B581-006933A92E67}">
      <tableStyleElement type="firstRowStripe" dxfId="8"/>
      <tableStyleElement type="secondRowStripe" dxfId="7"/>
    </tableStyle>
    <tableStyle name="Adressenlijst-style" pivot="0" count="3" xr9:uid="{E47E87E1-D949-4FB6-97ED-1A7E5D2E6132}">
      <tableStyleElement type="headerRow" dxfId="6"/>
      <tableStyleElement type="firstRowStripe" dxfId="5"/>
      <tableStyleElement type="secondRowStripe" dxfId="4"/>
    </tableStyle>
  </tableStyles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572250" y="9124"/>
          <a:ext cx="904875" cy="9247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zoomScale="96" zoomScaleNormal="96" workbookViewId="0">
      <selection activeCell="D4" sqref="D4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197" t="s">
        <v>316</v>
      </c>
      <c r="C3" s="198"/>
      <c r="D3" s="235">
        <v>46120</v>
      </c>
      <c r="E3" s="235"/>
      <c r="F3" s="235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42</v>
      </c>
      <c r="K8" s="83"/>
      <c r="L8" s="59" t="s">
        <v>42</v>
      </c>
      <c r="M8" s="83"/>
      <c r="N8" s="59" t="s">
        <v>42</v>
      </c>
      <c r="O8" s="83"/>
      <c r="P8" s="59" t="s">
        <v>32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162</v>
      </c>
      <c r="C10" s="84"/>
      <c r="D10" s="60" t="s">
        <v>288</v>
      </c>
      <c r="E10" s="84"/>
      <c r="F10" s="60" t="s">
        <v>160</v>
      </c>
      <c r="G10" s="84"/>
      <c r="H10" s="60" t="s">
        <v>290</v>
      </c>
      <c r="I10" s="84"/>
      <c r="J10" s="60" t="s">
        <v>157</v>
      </c>
      <c r="K10" s="84"/>
      <c r="L10" s="60" t="s">
        <v>338</v>
      </c>
      <c r="M10" s="84"/>
      <c r="N10" s="60" t="s">
        <v>158</v>
      </c>
      <c r="O10" s="84"/>
      <c r="P10" s="60" t="s">
        <v>166</v>
      </c>
      <c r="Q10" s="84"/>
      <c r="R10" s="60" t="s">
        <v>193</v>
      </c>
      <c r="S10" s="84"/>
    </row>
    <row r="11" spans="2:19" x14ac:dyDescent="0.3">
      <c r="B11" s="60" t="s">
        <v>300</v>
      </c>
      <c r="C11" s="84"/>
      <c r="D11" s="60" t="s">
        <v>285</v>
      </c>
      <c r="E11" s="84"/>
      <c r="F11" s="60" t="s">
        <v>294</v>
      </c>
      <c r="G11" s="84"/>
      <c r="H11" s="60" t="s">
        <v>164</v>
      </c>
      <c r="I11" s="84"/>
      <c r="J11" s="60" t="s">
        <v>137</v>
      </c>
      <c r="K11" s="84"/>
      <c r="L11" s="60" t="s">
        <v>325</v>
      </c>
      <c r="M11" s="84"/>
      <c r="N11" s="60" t="s">
        <v>155</v>
      </c>
      <c r="O11" s="84"/>
      <c r="P11" s="60" t="s">
        <v>180</v>
      </c>
      <c r="Q11" s="84"/>
      <c r="R11" s="60" t="s">
        <v>139</v>
      </c>
      <c r="S11" s="84"/>
    </row>
    <row r="12" spans="2:19" x14ac:dyDescent="0.3">
      <c r="B12" s="60" t="s">
        <v>297</v>
      </c>
      <c r="C12" s="84"/>
      <c r="D12" s="60" t="s">
        <v>320</v>
      </c>
      <c r="E12" s="84"/>
      <c r="F12" s="60" t="s">
        <v>286</v>
      </c>
      <c r="G12" s="84"/>
      <c r="H12" s="60" t="s">
        <v>298</v>
      </c>
      <c r="I12" s="84"/>
      <c r="J12" s="60" t="s">
        <v>156</v>
      </c>
      <c r="K12" s="84"/>
      <c r="L12" s="60" t="s">
        <v>329</v>
      </c>
      <c r="M12" s="84"/>
      <c r="N12" s="60" t="s">
        <v>327</v>
      </c>
      <c r="O12" s="84"/>
      <c r="P12" s="60" t="s">
        <v>198</v>
      </c>
      <c r="Q12" s="84"/>
      <c r="R12" s="60" t="s">
        <v>181</v>
      </c>
      <c r="S12" s="84"/>
    </row>
    <row r="13" spans="2:19" x14ac:dyDescent="0.3">
      <c r="B13" s="60" t="s">
        <v>292</v>
      </c>
      <c r="C13" s="84"/>
      <c r="D13" s="60" t="s">
        <v>296</v>
      </c>
      <c r="E13" s="84"/>
      <c r="F13" s="60" t="s">
        <v>319</v>
      </c>
      <c r="G13" s="84"/>
      <c r="H13" s="60" t="s">
        <v>287</v>
      </c>
      <c r="I13" s="84"/>
      <c r="J13" s="60" t="s">
        <v>334</v>
      </c>
      <c r="K13" s="84"/>
      <c r="L13" s="60" t="s">
        <v>331</v>
      </c>
      <c r="M13" s="84"/>
      <c r="N13" s="60" t="s">
        <v>328</v>
      </c>
      <c r="O13" s="84"/>
      <c r="P13" s="60" t="s">
        <v>182</v>
      </c>
      <c r="Q13" s="84"/>
      <c r="R13" s="60" t="s">
        <v>173</v>
      </c>
      <c r="S13" s="84"/>
    </row>
    <row r="14" spans="2:19" x14ac:dyDescent="0.3">
      <c r="B14" s="60" t="s">
        <v>200</v>
      </c>
      <c r="C14" s="84"/>
      <c r="D14" s="60" t="s">
        <v>293</v>
      </c>
      <c r="E14" s="84"/>
      <c r="F14" s="60" t="s">
        <v>321</v>
      </c>
      <c r="G14" s="84"/>
      <c r="H14" s="60" t="s">
        <v>138</v>
      </c>
      <c r="I14" s="84"/>
      <c r="J14" s="60" t="s">
        <v>283</v>
      </c>
      <c r="K14" s="84"/>
      <c r="L14" s="60" t="s">
        <v>335</v>
      </c>
      <c r="M14" s="84"/>
      <c r="N14" s="60" t="s">
        <v>340</v>
      </c>
      <c r="O14" s="84"/>
      <c r="P14" s="60" t="s">
        <v>350</v>
      </c>
      <c r="Q14" s="84"/>
      <c r="R14" s="60" t="s">
        <v>183</v>
      </c>
      <c r="S14" s="84"/>
    </row>
    <row r="15" spans="2:19" x14ac:dyDescent="0.3">
      <c r="B15" s="60" t="s">
        <v>299</v>
      </c>
      <c r="C15" s="84"/>
      <c r="D15" s="60" t="s">
        <v>163</v>
      </c>
      <c r="E15" s="84"/>
      <c r="F15" s="60" t="s">
        <v>322</v>
      </c>
      <c r="G15" s="84"/>
      <c r="H15" s="60" t="s">
        <v>324</v>
      </c>
      <c r="I15" s="84"/>
      <c r="J15" s="60" t="s">
        <v>284</v>
      </c>
      <c r="K15" s="84"/>
      <c r="L15" s="60" t="s">
        <v>326</v>
      </c>
      <c r="M15" s="84"/>
      <c r="N15" s="60" t="s">
        <v>337</v>
      </c>
      <c r="O15" s="84"/>
      <c r="P15" s="60" t="s">
        <v>169</v>
      </c>
      <c r="Q15" s="84"/>
      <c r="R15" s="60" t="s">
        <v>351</v>
      </c>
      <c r="S15" s="84"/>
    </row>
    <row r="16" spans="2:19" x14ac:dyDescent="0.3">
      <c r="B16" s="60" t="s">
        <v>165</v>
      </c>
      <c r="C16" s="84"/>
      <c r="D16" s="60" t="s">
        <v>323</v>
      </c>
      <c r="E16" s="84"/>
      <c r="F16" s="60" t="s">
        <v>159</v>
      </c>
      <c r="G16" s="84"/>
      <c r="H16" s="60" t="s">
        <v>161</v>
      </c>
      <c r="I16" s="84"/>
      <c r="J16" s="60" t="s">
        <v>330</v>
      </c>
      <c r="K16" s="84"/>
      <c r="L16" s="60" t="s">
        <v>336</v>
      </c>
      <c r="M16" s="84"/>
      <c r="N16" s="60" t="s">
        <v>339</v>
      </c>
      <c r="O16" s="84"/>
      <c r="P16" s="60" t="s">
        <v>66</v>
      </c>
      <c r="Q16" s="84"/>
      <c r="R16" s="60" t="s">
        <v>170</v>
      </c>
      <c r="S16" s="84"/>
    </row>
    <row r="17" spans="2:22" x14ac:dyDescent="0.3">
      <c r="B17" s="60" t="s">
        <v>289</v>
      </c>
      <c r="C17" s="84"/>
      <c r="D17" s="60" t="s">
        <v>291</v>
      </c>
      <c r="E17" s="84"/>
      <c r="F17" s="60" t="s">
        <v>295</v>
      </c>
      <c r="G17" s="84"/>
      <c r="H17" s="60"/>
      <c r="I17" s="84"/>
      <c r="J17" s="60" t="s">
        <v>333</v>
      </c>
      <c r="K17" s="84"/>
      <c r="L17" s="60" t="s">
        <v>332</v>
      </c>
      <c r="M17" s="84"/>
      <c r="N17" s="60" t="s">
        <v>341</v>
      </c>
      <c r="O17" s="84"/>
      <c r="P17" s="60" t="s">
        <v>177</v>
      </c>
      <c r="Q17" s="84"/>
      <c r="R17" s="60" t="s">
        <v>70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4" t="s">
        <v>23</v>
      </c>
      <c r="S23" s="79"/>
    </row>
    <row r="24" spans="2:22" x14ac:dyDescent="0.3">
      <c r="B24" s="60" t="s">
        <v>171</v>
      </c>
      <c r="C24" s="84"/>
      <c r="D24" s="60" t="s">
        <v>147</v>
      </c>
      <c r="E24" s="84"/>
      <c r="F24" s="60" t="s">
        <v>188</v>
      </c>
      <c r="G24" s="84"/>
      <c r="H24" s="60" t="s">
        <v>306</v>
      </c>
      <c r="I24" s="84"/>
      <c r="J24" s="60" t="s">
        <v>349</v>
      </c>
      <c r="K24" s="84"/>
      <c r="L24" s="60" t="s">
        <v>359</v>
      </c>
      <c r="M24" s="84"/>
      <c r="N24" s="60" t="s">
        <v>305</v>
      </c>
      <c r="O24" s="84"/>
      <c r="P24" s="60" t="s">
        <v>149</v>
      </c>
      <c r="Q24" s="223"/>
      <c r="R24" s="224" t="s">
        <v>186</v>
      </c>
      <c r="S24" s="105"/>
    </row>
    <row r="25" spans="2:22" x14ac:dyDescent="0.3">
      <c r="B25" s="60" t="s">
        <v>352</v>
      </c>
      <c r="C25" s="84"/>
      <c r="D25" s="60" t="s">
        <v>356</v>
      </c>
      <c r="E25" s="84"/>
      <c r="F25" s="60" t="s">
        <v>172</v>
      </c>
      <c r="G25" s="84"/>
      <c r="H25" s="60" t="s">
        <v>313</v>
      </c>
      <c r="I25" s="84"/>
      <c r="J25" s="60" t="s">
        <v>190</v>
      </c>
      <c r="K25" s="84"/>
      <c r="L25" s="60" t="s">
        <v>195</v>
      </c>
      <c r="M25" s="84"/>
      <c r="N25" s="60" t="s">
        <v>303</v>
      </c>
      <c r="O25" s="84"/>
      <c r="P25" s="60" t="s">
        <v>343</v>
      </c>
      <c r="Q25" s="84"/>
      <c r="R25" s="60" t="s">
        <v>364</v>
      </c>
      <c r="S25" s="84"/>
    </row>
    <row r="26" spans="2:22" x14ac:dyDescent="0.3">
      <c r="B26" s="60" t="s">
        <v>167</v>
      </c>
      <c r="C26" s="84"/>
      <c r="D26" s="60" t="s">
        <v>353</v>
      </c>
      <c r="E26" s="84"/>
      <c r="F26" s="60" t="s">
        <v>355</v>
      </c>
      <c r="G26" s="84"/>
      <c r="H26" s="60" t="s">
        <v>357</v>
      </c>
      <c r="I26" s="84"/>
      <c r="J26" s="60" t="s">
        <v>358</v>
      </c>
      <c r="K26" s="84"/>
      <c r="L26" s="60" t="s">
        <v>302</v>
      </c>
      <c r="M26" s="84"/>
      <c r="N26" s="60" t="s">
        <v>310</v>
      </c>
      <c r="O26" s="84"/>
      <c r="P26" s="60" t="s">
        <v>360</v>
      </c>
      <c r="Q26" s="84"/>
      <c r="R26" s="60" t="s">
        <v>348</v>
      </c>
      <c r="S26" s="84"/>
    </row>
    <row r="27" spans="2:22" x14ac:dyDescent="0.3">
      <c r="B27" s="60" t="s">
        <v>141</v>
      </c>
      <c r="C27" s="84"/>
      <c r="D27" s="60" t="s">
        <v>168</v>
      </c>
      <c r="E27" s="84"/>
      <c r="F27" s="60" t="s">
        <v>354</v>
      </c>
      <c r="G27" s="84"/>
      <c r="H27" s="60" t="s">
        <v>189</v>
      </c>
      <c r="I27" s="84"/>
      <c r="J27" s="60" t="s">
        <v>196</v>
      </c>
      <c r="K27" s="84"/>
      <c r="L27" s="60" t="s">
        <v>187</v>
      </c>
      <c r="M27" s="84"/>
      <c r="N27" s="60" t="s">
        <v>146</v>
      </c>
      <c r="O27" s="84"/>
      <c r="P27" s="60" t="s">
        <v>361</v>
      </c>
      <c r="Q27" s="84"/>
      <c r="R27" s="60" t="s">
        <v>309</v>
      </c>
      <c r="S27" s="84"/>
    </row>
    <row r="28" spans="2:22" x14ac:dyDescent="0.3">
      <c r="B28" s="60" t="s">
        <v>174</v>
      </c>
      <c r="C28" s="84"/>
      <c r="D28" s="60" t="s">
        <v>344</v>
      </c>
      <c r="E28" s="84"/>
      <c r="F28" s="60" t="s">
        <v>57</v>
      </c>
      <c r="G28" s="84"/>
      <c r="H28" s="60" t="s">
        <v>184</v>
      </c>
      <c r="I28" s="84"/>
      <c r="J28" s="60" t="s">
        <v>308</v>
      </c>
      <c r="K28" s="84"/>
      <c r="L28" s="60" t="s">
        <v>144</v>
      </c>
      <c r="M28" s="84"/>
      <c r="N28" s="60" t="s">
        <v>301</v>
      </c>
      <c r="O28" s="84"/>
      <c r="P28" s="60" t="s">
        <v>314</v>
      </c>
      <c r="Q28" s="84"/>
      <c r="R28" s="60" t="s">
        <v>347</v>
      </c>
      <c r="S28" s="84"/>
      <c r="V28" s="225"/>
    </row>
    <row r="29" spans="2:22" x14ac:dyDescent="0.3">
      <c r="B29" s="60" t="s">
        <v>140</v>
      </c>
      <c r="C29" s="84"/>
      <c r="D29" s="60" t="s">
        <v>175</v>
      </c>
      <c r="E29" s="84"/>
      <c r="F29" s="60" t="s">
        <v>345</v>
      </c>
      <c r="G29" s="84"/>
      <c r="H29" s="60" t="s">
        <v>65</v>
      </c>
      <c r="I29" s="84"/>
      <c r="J29" s="60" t="s">
        <v>185</v>
      </c>
      <c r="K29" s="84"/>
      <c r="L29" s="60" t="s">
        <v>311</v>
      </c>
      <c r="M29" s="84"/>
      <c r="N29" s="60" t="s">
        <v>191</v>
      </c>
      <c r="O29" s="84"/>
      <c r="P29" s="60" t="s">
        <v>312</v>
      </c>
      <c r="Q29" s="84"/>
      <c r="R29" s="60" t="s">
        <v>342</v>
      </c>
      <c r="S29" s="84"/>
    </row>
    <row r="30" spans="2:22" x14ac:dyDescent="0.3">
      <c r="B30" s="60" t="s">
        <v>178</v>
      </c>
      <c r="C30" s="84"/>
      <c r="D30" s="60" t="s">
        <v>143</v>
      </c>
      <c r="E30" s="84"/>
      <c r="F30" s="60" t="s">
        <v>176</v>
      </c>
      <c r="G30" s="84"/>
      <c r="H30" s="60" t="s">
        <v>346</v>
      </c>
      <c r="I30" s="84"/>
      <c r="J30" s="60" t="s">
        <v>148</v>
      </c>
      <c r="K30" s="84"/>
      <c r="L30" s="60" t="s">
        <v>192</v>
      </c>
      <c r="M30" s="84"/>
      <c r="N30" s="60" t="s">
        <v>145</v>
      </c>
      <c r="O30" s="84"/>
      <c r="P30" s="60" t="s">
        <v>362</v>
      </c>
      <c r="Q30" s="84"/>
      <c r="R30" s="60" t="s">
        <v>363</v>
      </c>
      <c r="S30" s="84"/>
    </row>
    <row r="31" spans="2:22" x14ac:dyDescent="0.3">
      <c r="B31" s="60" t="s">
        <v>304</v>
      </c>
      <c r="C31" s="84"/>
      <c r="D31" s="60" t="s">
        <v>179</v>
      </c>
      <c r="E31" s="84"/>
      <c r="F31" s="60" t="s">
        <v>307</v>
      </c>
      <c r="G31" s="84"/>
      <c r="H31" s="60" t="s">
        <v>197</v>
      </c>
      <c r="I31" s="84"/>
      <c r="J31" s="60" t="s">
        <v>194</v>
      </c>
      <c r="K31" s="84"/>
      <c r="L31" s="60" t="s">
        <v>142</v>
      </c>
      <c r="M31" s="84"/>
      <c r="N31" s="60"/>
      <c r="O31" s="84"/>
      <c r="P31" s="60"/>
      <c r="Q31" s="84"/>
      <c r="R31" s="59"/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67</v>
      </c>
      <c r="N34" s="74" t="s">
        <v>21</v>
      </c>
      <c r="O34" s="75" t="s">
        <v>68</v>
      </c>
      <c r="P34" s="74" t="s">
        <v>21</v>
      </c>
      <c r="Q34" s="75" t="s">
        <v>69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/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/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/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/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/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/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/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/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/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0" t="s">
        <v>77</v>
      </c>
      <c r="J1" s="110"/>
      <c r="K1" s="110"/>
      <c r="L1" s="110"/>
      <c r="M1" s="110"/>
      <c r="N1" s="110"/>
      <c r="O1" s="110" t="s">
        <v>76</v>
      </c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 t="s">
        <v>75</v>
      </c>
    </row>
    <row r="2" spans="1:35" s="110" customFormat="1" x14ac:dyDescent="0.25">
      <c r="A2" s="169" t="s">
        <v>72</v>
      </c>
      <c r="B2" s="170" t="s">
        <v>73</v>
      </c>
      <c r="C2" s="170" t="s">
        <v>74</v>
      </c>
      <c r="D2" s="171" t="s">
        <v>75</v>
      </c>
      <c r="E2" s="171" t="s">
        <v>76</v>
      </c>
      <c r="F2" s="172" t="s">
        <v>77</v>
      </c>
      <c r="G2" s="180" t="s">
        <v>13</v>
      </c>
      <c r="H2" s="205"/>
      <c r="I2" s="168" t="s">
        <v>201</v>
      </c>
      <c r="J2" s="168" t="s">
        <v>202</v>
      </c>
      <c r="K2" s="168" t="s">
        <v>203</v>
      </c>
      <c r="L2" s="168" t="s">
        <v>237</v>
      </c>
      <c r="M2" s="168" t="s">
        <v>238</v>
      </c>
      <c r="O2" s="168" t="s">
        <v>204</v>
      </c>
      <c r="P2" s="168" t="s">
        <v>205</v>
      </c>
      <c r="Q2" s="168" t="s">
        <v>206</v>
      </c>
      <c r="R2" s="168" t="s">
        <v>207</v>
      </c>
      <c r="S2" s="168" t="s">
        <v>208</v>
      </c>
      <c r="T2" s="168" t="s">
        <v>209</v>
      </c>
      <c r="U2" s="168" t="s">
        <v>210</v>
      </c>
      <c r="V2" s="168" t="s">
        <v>211</v>
      </c>
      <c r="W2" s="168" t="s">
        <v>212</v>
      </c>
      <c r="X2" s="168" t="s">
        <v>236</v>
      </c>
      <c r="Z2" s="168" t="s">
        <v>213</v>
      </c>
      <c r="AA2" s="168" t="s">
        <v>214</v>
      </c>
      <c r="AB2" s="168" t="s">
        <v>215</v>
      </c>
      <c r="AC2" s="168" t="s">
        <v>216</v>
      </c>
      <c r="AD2" s="168" t="s">
        <v>217</v>
      </c>
      <c r="AE2" s="168" t="s">
        <v>218</v>
      </c>
      <c r="AF2" s="168" t="s">
        <v>219</v>
      </c>
      <c r="AG2" s="168" t="s">
        <v>220</v>
      </c>
      <c r="AH2" s="168" t="s">
        <v>221</v>
      </c>
      <c r="AI2" s="168" t="s">
        <v>222</v>
      </c>
    </row>
    <row r="3" spans="1:35" x14ac:dyDescent="0.25">
      <c r="A3" s="167">
        <v>1</v>
      </c>
      <c r="B3" s="163" t="s">
        <v>78</v>
      </c>
      <c r="C3" s="163" t="s">
        <v>79</v>
      </c>
      <c r="D3" s="218">
        <v>1</v>
      </c>
      <c r="E3" s="218">
        <v>1</v>
      </c>
      <c r="F3" s="218">
        <v>1</v>
      </c>
      <c r="G3" s="181">
        <f>SUM(D3:F3)</f>
        <v>3</v>
      </c>
      <c r="H3" s="200"/>
      <c r="I3" t="str">
        <f>IF(AND($F3&lt;&gt;"",$F3&gt;=1),"G1","")</f>
        <v>G1</v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/>
      </c>
      <c r="AB3" t="str">
        <f>IF(AND($D3&lt;&gt;"",$D3&gt;=3),"J3","")</f>
        <v/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3">
        <v>2</v>
      </c>
      <c r="B4" s="174" t="s">
        <v>80</v>
      </c>
      <c r="C4" s="174" t="s">
        <v>81</v>
      </c>
      <c r="D4" s="218">
        <v>3</v>
      </c>
      <c r="E4" s="218"/>
      <c r="F4" s="218"/>
      <c r="G4" s="204">
        <f t="shared" ref="G4:G31" si="0">SUM(D4:F4)</f>
        <v>3</v>
      </c>
      <c r="H4" s="200"/>
      <c r="I4" s="175" t="str">
        <f t="shared" ref="I4:I32" si="1">IF(AND($F4&lt;&gt;"",$F4&gt;=1),"G1","")</f>
        <v/>
      </c>
      <c r="J4" s="175" t="str">
        <f t="shared" ref="J4:J32" si="2">IF(AND($F4&lt;&gt;"",$F4&gt;=2),"G2","")</f>
        <v/>
      </c>
      <c r="K4" s="175" t="str">
        <f t="shared" ref="K4:K32" si="3">IF(AND($F4&lt;&gt;"",$F4&gt;=3),"G3","")</f>
        <v/>
      </c>
      <c r="L4" s="175" t="str">
        <f t="shared" ref="L4:L32" si="4">IF(AND($F4&lt;&gt;"",$F4&gt;=4),"G4","")</f>
        <v/>
      </c>
      <c r="M4" s="175" t="str">
        <f t="shared" ref="M4:M32" si="5">IF(AND($F4&lt;&gt;"",$F4&gt;=5),"G5","")</f>
        <v/>
      </c>
      <c r="O4" s="175" t="str">
        <f t="shared" ref="O4:O32" si="6">IF(AND($E4&lt;&gt;"",$E4&gt;=1),"M1","")</f>
        <v/>
      </c>
      <c r="P4" s="175" t="str">
        <f t="shared" ref="P4:P32" si="7">IF(AND($E4&lt;&gt;"",$E4&gt;=2),"M2","")</f>
        <v/>
      </c>
      <c r="Q4" s="175" t="str">
        <f t="shared" ref="Q4:Q32" si="8">IF(AND($E4&lt;&gt;"",$E4&gt;=3),"M3","")</f>
        <v/>
      </c>
      <c r="R4" s="175" t="str">
        <f t="shared" ref="R4:R32" si="9">IF(AND($E4&lt;&gt;"",$E4&gt;=4),"M4","")</f>
        <v/>
      </c>
      <c r="S4" s="175" t="str">
        <f t="shared" ref="S4:S32" si="10">IF(AND($E4&lt;&gt;"",$E4&gt;=5),"M5","")</f>
        <v/>
      </c>
      <c r="T4" s="175" t="str">
        <f t="shared" ref="T4:T32" si="11">IF(AND($E4&lt;&gt;"",$E4&gt;=6),"M6","")</f>
        <v/>
      </c>
      <c r="U4" s="175" t="str">
        <f t="shared" ref="U4:U32" si="12">IF(AND($E4&lt;&gt;"",$E4&gt;=7),"M7","")</f>
        <v/>
      </c>
      <c r="V4" s="175" t="str">
        <f t="shared" ref="V4:V32" si="13">IF(AND($E4&lt;&gt;"",$E4&gt;=8),"M8","")</f>
        <v/>
      </c>
      <c r="W4" s="175" t="str">
        <f t="shared" ref="W4:W32" si="14">IF(AND($E4&lt;&gt;"",$E4&gt;=9),"M9","")</f>
        <v/>
      </c>
      <c r="X4" s="175" t="str">
        <f t="shared" ref="X4:X32" si="15">IF(AND($E4&lt;&gt;"",$E4&gt;=10),"M10","")</f>
        <v/>
      </c>
      <c r="Z4" s="175" t="str">
        <f t="shared" ref="Z4:Z32" si="16">IF(AND($D4&lt;&gt;"",$D4&gt;=1),"J1","")</f>
        <v>J1</v>
      </c>
      <c r="AA4" s="175" t="str">
        <f t="shared" ref="AA4:AA32" si="17">IF(AND($D4&lt;&gt;"",$D4&gt;=2),"J2","")</f>
        <v>J2</v>
      </c>
      <c r="AB4" s="175" t="str">
        <f t="shared" ref="AB4:AB32" si="18">IF(AND($D4&lt;&gt;"",$D4&gt;=3),"J3","")</f>
        <v>J3</v>
      </c>
      <c r="AC4" s="175" t="str">
        <f t="shared" ref="AC4:AC32" si="19">IF(AND($D4&lt;&gt;"",$D4&gt;=4),"J4","")</f>
        <v/>
      </c>
      <c r="AD4" s="175" t="str">
        <f t="shared" ref="AD4:AD32" si="20">IF(AND($D4&lt;&gt;"",$D4&gt;=5),"J5","")</f>
        <v/>
      </c>
      <c r="AE4" s="175" t="str">
        <f t="shared" ref="AE4:AE32" si="21">IF(AND($D4&lt;&gt;"",$D4&gt;=6),"J6","")</f>
        <v/>
      </c>
      <c r="AF4" s="175" t="str">
        <f t="shared" ref="AF4:AF32" si="22">IF(AND($D4&lt;&gt;"",$D4&gt;=7),"J7","")</f>
        <v/>
      </c>
      <c r="AG4" s="175" t="str">
        <f t="shared" ref="AG4:AG32" si="23">IF(AND($D4&lt;&gt;"",$D4&gt;=8),"J8","")</f>
        <v/>
      </c>
      <c r="AH4" s="175" t="str">
        <f t="shared" ref="AH4:AH32" si="24">IF(AND($D4&lt;&gt;"",$D4&gt;=9),"J9","")</f>
        <v/>
      </c>
      <c r="AI4" s="175" t="str">
        <f t="shared" ref="AI4:AI32" si="25">IF(AND($D4&lt;&gt;"",$D4&gt;=10),"J10","")</f>
        <v/>
      </c>
    </row>
    <row r="5" spans="1:35" x14ac:dyDescent="0.25">
      <c r="A5" s="167">
        <v>3</v>
      </c>
      <c r="B5" s="163" t="s">
        <v>82</v>
      </c>
      <c r="C5" s="163" t="s">
        <v>83</v>
      </c>
      <c r="D5" s="218">
        <v>6</v>
      </c>
      <c r="E5" s="218">
        <v>3</v>
      </c>
      <c r="F5" s="218"/>
      <c r="G5" s="181">
        <f t="shared" si="0"/>
        <v>9</v>
      </c>
      <c r="H5" s="200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>M3</v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>J6</v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3">
        <v>4</v>
      </c>
      <c r="B6" s="174" t="s">
        <v>84</v>
      </c>
      <c r="C6" s="174" t="s">
        <v>85</v>
      </c>
      <c r="D6" s="218"/>
      <c r="E6" s="218"/>
      <c r="F6" s="218">
        <v>2</v>
      </c>
      <c r="G6" s="204">
        <f t="shared" si="0"/>
        <v>2</v>
      </c>
      <c r="H6" s="200"/>
      <c r="I6" s="175" t="str">
        <f t="shared" si="1"/>
        <v>G1</v>
      </c>
      <c r="J6" s="175" t="str">
        <f t="shared" si="2"/>
        <v>G2</v>
      </c>
      <c r="K6" s="175" t="str">
        <f t="shared" si="3"/>
        <v/>
      </c>
      <c r="L6" s="175" t="str">
        <f t="shared" si="4"/>
        <v/>
      </c>
      <c r="M6" s="175" t="str">
        <f t="shared" si="5"/>
        <v/>
      </c>
      <c r="O6" s="175" t="str">
        <f t="shared" si="6"/>
        <v/>
      </c>
      <c r="P6" s="175" t="str">
        <f t="shared" si="7"/>
        <v/>
      </c>
      <c r="Q6" s="175" t="str">
        <f t="shared" si="8"/>
        <v/>
      </c>
      <c r="R6" s="175" t="str">
        <f t="shared" si="9"/>
        <v/>
      </c>
      <c r="S6" s="175" t="str">
        <f t="shared" si="10"/>
        <v/>
      </c>
      <c r="T6" s="175" t="str">
        <f t="shared" si="11"/>
        <v/>
      </c>
      <c r="U6" s="175" t="str">
        <f t="shared" si="12"/>
        <v/>
      </c>
      <c r="V6" s="175" t="str">
        <f t="shared" si="13"/>
        <v/>
      </c>
      <c r="W6" s="175" t="str">
        <f t="shared" si="14"/>
        <v/>
      </c>
      <c r="X6" s="175" t="str">
        <f t="shared" si="15"/>
        <v/>
      </c>
      <c r="Z6" s="175" t="str">
        <f t="shared" si="16"/>
        <v/>
      </c>
      <c r="AA6" s="175" t="str">
        <f t="shared" si="17"/>
        <v/>
      </c>
      <c r="AB6" s="175" t="str">
        <f t="shared" si="18"/>
        <v/>
      </c>
      <c r="AC6" s="175" t="str">
        <f t="shared" si="19"/>
        <v/>
      </c>
      <c r="AD6" s="175" t="str">
        <f t="shared" si="20"/>
        <v/>
      </c>
      <c r="AE6" s="175" t="str">
        <f t="shared" si="21"/>
        <v/>
      </c>
      <c r="AF6" s="175" t="str">
        <f t="shared" si="22"/>
        <v/>
      </c>
      <c r="AG6" s="175" t="str">
        <f t="shared" si="23"/>
        <v/>
      </c>
      <c r="AH6" s="175" t="str">
        <f t="shared" si="24"/>
        <v/>
      </c>
      <c r="AI6" s="175" t="str">
        <f t="shared" si="25"/>
        <v/>
      </c>
    </row>
    <row r="7" spans="1:35" x14ac:dyDescent="0.25">
      <c r="A7" s="167">
        <v>5</v>
      </c>
      <c r="B7" s="163" t="s">
        <v>86</v>
      </c>
      <c r="C7" s="163" t="s">
        <v>87</v>
      </c>
      <c r="D7" s="218">
        <v>2</v>
      </c>
      <c r="E7" s="218">
        <v>1</v>
      </c>
      <c r="F7" s="218"/>
      <c r="G7" s="181">
        <f t="shared" si="0"/>
        <v>3</v>
      </c>
      <c r="H7" s="200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3">
        <v>6</v>
      </c>
      <c r="B8" s="174" t="s">
        <v>88</v>
      </c>
      <c r="C8" s="174" t="s">
        <v>89</v>
      </c>
      <c r="D8" s="218">
        <v>2</v>
      </c>
      <c r="E8" s="218">
        <v>1</v>
      </c>
      <c r="F8" s="218"/>
      <c r="G8" s="204">
        <f t="shared" si="0"/>
        <v>3</v>
      </c>
      <c r="H8" s="200"/>
      <c r="I8" s="175" t="str">
        <f t="shared" si="1"/>
        <v/>
      </c>
      <c r="J8" s="175" t="str">
        <f t="shared" si="2"/>
        <v/>
      </c>
      <c r="K8" s="175" t="str">
        <f t="shared" si="3"/>
        <v/>
      </c>
      <c r="L8" s="175" t="str">
        <f t="shared" si="4"/>
        <v/>
      </c>
      <c r="M8" s="175" t="str">
        <f t="shared" si="5"/>
        <v/>
      </c>
      <c r="O8" s="175" t="str">
        <f t="shared" si="6"/>
        <v>M1</v>
      </c>
      <c r="P8" s="175" t="str">
        <f t="shared" si="7"/>
        <v/>
      </c>
      <c r="Q8" s="175" t="str">
        <f t="shared" si="8"/>
        <v/>
      </c>
      <c r="R8" s="175" t="str">
        <f t="shared" si="9"/>
        <v/>
      </c>
      <c r="S8" s="175" t="str">
        <f t="shared" si="10"/>
        <v/>
      </c>
      <c r="T8" s="175" t="str">
        <f t="shared" si="11"/>
        <v/>
      </c>
      <c r="U8" s="175" t="str">
        <f t="shared" si="12"/>
        <v/>
      </c>
      <c r="V8" s="175" t="str">
        <f t="shared" si="13"/>
        <v/>
      </c>
      <c r="W8" s="175" t="str">
        <f t="shared" si="14"/>
        <v/>
      </c>
      <c r="X8" s="175" t="str">
        <f t="shared" si="15"/>
        <v/>
      </c>
      <c r="Z8" s="175" t="str">
        <f t="shared" si="16"/>
        <v>J1</v>
      </c>
      <c r="AA8" s="175" t="str">
        <f t="shared" si="17"/>
        <v>J2</v>
      </c>
      <c r="AB8" s="175" t="str">
        <f t="shared" si="18"/>
        <v/>
      </c>
      <c r="AC8" s="175" t="str">
        <f t="shared" si="19"/>
        <v/>
      </c>
      <c r="AD8" s="175" t="str">
        <f t="shared" si="20"/>
        <v/>
      </c>
      <c r="AE8" s="175" t="str">
        <f t="shared" si="21"/>
        <v/>
      </c>
      <c r="AF8" s="175" t="str">
        <f t="shared" si="22"/>
        <v/>
      </c>
      <c r="AG8" s="175" t="str">
        <f t="shared" si="23"/>
        <v/>
      </c>
      <c r="AH8" s="175" t="str">
        <f t="shared" si="24"/>
        <v/>
      </c>
      <c r="AI8" s="175" t="str">
        <f t="shared" si="25"/>
        <v/>
      </c>
    </row>
    <row r="9" spans="1:35" x14ac:dyDescent="0.25">
      <c r="A9" s="167">
        <v>7</v>
      </c>
      <c r="B9" s="163" t="s">
        <v>90</v>
      </c>
      <c r="C9" s="163" t="s">
        <v>91</v>
      </c>
      <c r="D9" s="218">
        <v>2</v>
      </c>
      <c r="E9" s="218">
        <v>1</v>
      </c>
      <c r="F9" s="218"/>
      <c r="G9" s="181">
        <f t="shared" si="0"/>
        <v>3</v>
      </c>
      <c r="H9" s="200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3">
        <v>8</v>
      </c>
      <c r="B10" s="174" t="s">
        <v>92</v>
      </c>
      <c r="C10" s="174" t="s">
        <v>93</v>
      </c>
      <c r="D10" s="218">
        <v>1</v>
      </c>
      <c r="E10" s="218"/>
      <c r="F10" s="218">
        <v>5</v>
      </c>
      <c r="G10" s="204">
        <f t="shared" si="0"/>
        <v>6</v>
      </c>
      <c r="H10" s="200"/>
      <c r="I10" s="175" t="str">
        <f t="shared" si="1"/>
        <v>G1</v>
      </c>
      <c r="J10" s="175" t="str">
        <f t="shared" si="2"/>
        <v>G2</v>
      </c>
      <c r="K10" s="175" t="str">
        <f t="shared" si="3"/>
        <v>G3</v>
      </c>
      <c r="L10" s="175" t="str">
        <f t="shared" si="4"/>
        <v>G4</v>
      </c>
      <c r="M10" s="175" t="str">
        <f t="shared" si="5"/>
        <v>G5</v>
      </c>
      <c r="O10" s="175" t="str">
        <f t="shared" si="6"/>
        <v/>
      </c>
      <c r="P10" s="175" t="str">
        <f t="shared" si="7"/>
        <v/>
      </c>
      <c r="Q10" s="175" t="str">
        <f t="shared" si="8"/>
        <v/>
      </c>
      <c r="R10" s="175" t="str">
        <f t="shared" si="9"/>
        <v/>
      </c>
      <c r="S10" s="175" t="str">
        <f t="shared" si="10"/>
        <v/>
      </c>
      <c r="T10" s="175" t="str">
        <f t="shared" si="11"/>
        <v/>
      </c>
      <c r="U10" s="175" t="str">
        <f t="shared" si="12"/>
        <v/>
      </c>
      <c r="V10" s="175" t="str">
        <f t="shared" si="13"/>
        <v/>
      </c>
      <c r="W10" s="175" t="str">
        <f t="shared" si="14"/>
        <v/>
      </c>
      <c r="X10" s="175" t="str">
        <f t="shared" si="15"/>
        <v/>
      </c>
      <c r="Z10" s="175" t="str">
        <f t="shared" si="16"/>
        <v>J1</v>
      </c>
      <c r="AA10" s="175" t="str">
        <f t="shared" si="17"/>
        <v/>
      </c>
      <c r="AB10" s="175" t="str">
        <f t="shared" si="18"/>
        <v/>
      </c>
      <c r="AC10" s="175" t="str">
        <f t="shared" si="19"/>
        <v/>
      </c>
      <c r="AD10" s="175" t="str">
        <f t="shared" si="20"/>
        <v/>
      </c>
      <c r="AE10" s="175" t="str">
        <f t="shared" si="21"/>
        <v/>
      </c>
      <c r="AF10" s="175" t="str">
        <f t="shared" si="22"/>
        <v/>
      </c>
      <c r="AG10" s="175" t="str">
        <f t="shared" si="23"/>
        <v/>
      </c>
      <c r="AH10" s="175" t="str">
        <f t="shared" si="24"/>
        <v/>
      </c>
      <c r="AI10" s="175" t="str">
        <f t="shared" si="25"/>
        <v/>
      </c>
    </row>
    <row r="11" spans="1:35" x14ac:dyDescent="0.25">
      <c r="A11" s="167">
        <v>9</v>
      </c>
      <c r="B11" s="163" t="s">
        <v>94</v>
      </c>
      <c r="C11" s="163" t="s">
        <v>95</v>
      </c>
      <c r="D11" s="218">
        <v>3</v>
      </c>
      <c r="E11" s="218"/>
      <c r="F11" s="218"/>
      <c r="G11" s="181">
        <f t="shared" si="0"/>
        <v>3</v>
      </c>
      <c r="H11" s="200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>J3</v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3">
        <v>10</v>
      </c>
      <c r="B12" s="174" t="s">
        <v>96</v>
      </c>
      <c r="C12" s="174" t="s">
        <v>97</v>
      </c>
      <c r="D12" s="218">
        <v>2</v>
      </c>
      <c r="E12" s="218"/>
      <c r="F12" s="218">
        <v>1</v>
      </c>
      <c r="G12" s="204">
        <f t="shared" si="0"/>
        <v>3</v>
      </c>
      <c r="H12" s="200"/>
      <c r="I12" s="175" t="str">
        <f t="shared" si="1"/>
        <v>G1</v>
      </c>
      <c r="J12" s="175" t="str">
        <f t="shared" si="2"/>
        <v/>
      </c>
      <c r="K12" s="175" t="str">
        <f t="shared" si="3"/>
        <v/>
      </c>
      <c r="L12" s="175" t="str">
        <f t="shared" si="4"/>
        <v/>
      </c>
      <c r="M12" s="175" t="str">
        <f t="shared" si="5"/>
        <v/>
      </c>
      <c r="O12" s="175" t="str">
        <f t="shared" si="6"/>
        <v/>
      </c>
      <c r="P12" s="175" t="str">
        <f t="shared" si="7"/>
        <v/>
      </c>
      <c r="Q12" s="175" t="str">
        <f t="shared" si="8"/>
        <v/>
      </c>
      <c r="R12" s="175" t="str">
        <f t="shared" si="9"/>
        <v/>
      </c>
      <c r="S12" s="175" t="str">
        <f t="shared" si="10"/>
        <v/>
      </c>
      <c r="T12" s="175" t="str">
        <f t="shared" si="11"/>
        <v/>
      </c>
      <c r="U12" s="175" t="str">
        <f t="shared" si="12"/>
        <v/>
      </c>
      <c r="V12" s="175" t="str">
        <f t="shared" si="13"/>
        <v/>
      </c>
      <c r="W12" s="175" t="str">
        <f t="shared" si="14"/>
        <v/>
      </c>
      <c r="X12" s="175" t="str">
        <f t="shared" si="15"/>
        <v/>
      </c>
      <c r="Z12" s="175" t="str">
        <f t="shared" si="16"/>
        <v>J1</v>
      </c>
      <c r="AA12" s="175" t="str">
        <f t="shared" si="17"/>
        <v>J2</v>
      </c>
      <c r="AB12" s="175" t="str">
        <f t="shared" si="18"/>
        <v/>
      </c>
      <c r="AC12" s="175" t="str">
        <f t="shared" si="19"/>
        <v/>
      </c>
      <c r="AD12" s="175" t="str">
        <f t="shared" si="20"/>
        <v/>
      </c>
      <c r="AE12" s="175" t="str">
        <f t="shared" si="21"/>
        <v/>
      </c>
      <c r="AF12" s="175" t="str">
        <f t="shared" si="22"/>
        <v/>
      </c>
      <c r="AG12" s="175" t="str">
        <f t="shared" si="23"/>
        <v/>
      </c>
      <c r="AH12" s="175" t="str">
        <f t="shared" si="24"/>
        <v/>
      </c>
      <c r="AI12" s="175" t="str">
        <f t="shared" si="25"/>
        <v/>
      </c>
    </row>
    <row r="13" spans="1:35" x14ac:dyDescent="0.25">
      <c r="A13" s="167">
        <v>11</v>
      </c>
      <c r="B13" s="163" t="s">
        <v>98</v>
      </c>
      <c r="C13" s="163" t="s">
        <v>99</v>
      </c>
      <c r="D13" s="218">
        <v>3</v>
      </c>
      <c r="E13" s="218"/>
      <c r="F13" s="218">
        <v>1</v>
      </c>
      <c r="G13" s="181">
        <f t="shared" si="0"/>
        <v>4</v>
      </c>
      <c r="H13" s="200"/>
      <c r="I13" t="str">
        <f t="shared" si="1"/>
        <v>G1</v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3">
        <v>12</v>
      </c>
      <c r="B14" s="174" t="s">
        <v>100</v>
      </c>
      <c r="C14" s="174" t="s">
        <v>101</v>
      </c>
      <c r="D14" s="218">
        <v>7</v>
      </c>
      <c r="E14" s="218">
        <v>2</v>
      </c>
      <c r="F14" s="218">
        <v>1</v>
      </c>
      <c r="G14" s="204">
        <f t="shared" si="0"/>
        <v>10</v>
      </c>
      <c r="H14" s="200"/>
      <c r="I14" s="175" t="str">
        <f t="shared" si="1"/>
        <v>G1</v>
      </c>
      <c r="J14" s="175" t="str">
        <f t="shared" si="2"/>
        <v/>
      </c>
      <c r="K14" s="175" t="str">
        <f t="shared" si="3"/>
        <v/>
      </c>
      <c r="L14" s="175" t="str">
        <f t="shared" si="4"/>
        <v/>
      </c>
      <c r="M14" s="175" t="str">
        <f t="shared" si="5"/>
        <v/>
      </c>
      <c r="O14" s="175" t="str">
        <f t="shared" si="6"/>
        <v>M1</v>
      </c>
      <c r="P14" s="175" t="str">
        <f t="shared" si="7"/>
        <v>M2</v>
      </c>
      <c r="Q14" s="175" t="str">
        <f t="shared" si="8"/>
        <v/>
      </c>
      <c r="R14" s="175" t="str">
        <f t="shared" si="9"/>
        <v/>
      </c>
      <c r="S14" s="175" t="str">
        <f t="shared" si="10"/>
        <v/>
      </c>
      <c r="T14" s="175" t="str">
        <f t="shared" si="11"/>
        <v/>
      </c>
      <c r="U14" s="175" t="str">
        <f t="shared" si="12"/>
        <v/>
      </c>
      <c r="V14" s="175" t="str">
        <f t="shared" si="13"/>
        <v/>
      </c>
      <c r="W14" s="175" t="str">
        <f t="shared" si="14"/>
        <v/>
      </c>
      <c r="X14" s="175" t="str">
        <f t="shared" si="15"/>
        <v/>
      </c>
      <c r="Z14" s="175" t="str">
        <f t="shared" si="16"/>
        <v>J1</v>
      </c>
      <c r="AA14" s="175" t="str">
        <f t="shared" si="17"/>
        <v>J2</v>
      </c>
      <c r="AB14" s="175" t="str">
        <f t="shared" si="18"/>
        <v>J3</v>
      </c>
      <c r="AC14" s="175" t="str">
        <f t="shared" si="19"/>
        <v>J4</v>
      </c>
      <c r="AD14" s="175" t="str">
        <f t="shared" si="20"/>
        <v>J5</v>
      </c>
      <c r="AE14" s="175" t="str">
        <f t="shared" si="21"/>
        <v>J6</v>
      </c>
      <c r="AF14" s="175" t="str">
        <f t="shared" si="22"/>
        <v>J7</v>
      </c>
      <c r="AG14" s="175" t="str">
        <f t="shared" si="23"/>
        <v/>
      </c>
      <c r="AH14" s="175" t="str">
        <f t="shared" si="24"/>
        <v/>
      </c>
      <c r="AI14" s="175" t="str">
        <f t="shared" si="25"/>
        <v/>
      </c>
    </row>
    <row r="15" spans="1:35" x14ac:dyDescent="0.25">
      <c r="A15" s="167">
        <v>13</v>
      </c>
      <c r="B15" s="163" t="s">
        <v>102</v>
      </c>
      <c r="C15" s="164" t="s">
        <v>103</v>
      </c>
      <c r="D15" s="218">
        <v>7</v>
      </c>
      <c r="E15" s="218">
        <v>3</v>
      </c>
      <c r="F15" s="218">
        <v>2</v>
      </c>
      <c r="G15" s="181">
        <f t="shared" si="0"/>
        <v>12</v>
      </c>
      <c r="H15" s="200"/>
      <c r="I15" t="str">
        <f t="shared" si="1"/>
        <v>G1</v>
      </c>
      <c r="J15" t="str">
        <f t="shared" si="2"/>
        <v>G2</v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>M2</v>
      </c>
      <c r="Q15" t="str">
        <f t="shared" si="8"/>
        <v>M3</v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>J6</v>
      </c>
      <c r="AF15" t="str">
        <f t="shared" si="22"/>
        <v>J7</v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3">
        <v>14</v>
      </c>
      <c r="B16" s="174" t="s">
        <v>104</v>
      </c>
      <c r="C16" s="174" t="s">
        <v>105</v>
      </c>
      <c r="D16" s="218">
        <v>4</v>
      </c>
      <c r="E16" s="218">
        <v>1</v>
      </c>
      <c r="F16" s="218">
        <v>2</v>
      </c>
      <c r="G16" s="204">
        <f t="shared" si="0"/>
        <v>7</v>
      </c>
      <c r="H16" s="200"/>
      <c r="I16" s="175" t="str">
        <f t="shared" si="1"/>
        <v>G1</v>
      </c>
      <c r="J16" s="175" t="str">
        <f t="shared" si="2"/>
        <v>G2</v>
      </c>
      <c r="K16" s="175" t="str">
        <f t="shared" si="3"/>
        <v/>
      </c>
      <c r="L16" s="175" t="str">
        <f t="shared" si="4"/>
        <v/>
      </c>
      <c r="M16" s="175" t="str">
        <f t="shared" si="5"/>
        <v/>
      </c>
      <c r="O16" s="175" t="str">
        <f t="shared" si="6"/>
        <v>M1</v>
      </c>
      <c r="P16" s="175" t="str">
        <f t="shared" si="7"/>
        <v/>
      </c>
      <c r="Q16" s="175" t="str">
        <f t="shared" si="8"/>
        <v/>
      </c>
      <c r="R16" s="175" t="str">
        <f t="shared" si="9"/>
        <v/>
      </c>
      <c r="S16" s="175" t="str">
        <f t="shared" si="10"/>
        <v/>
      </c>
      <c r="T16" s="175" t="str">
        <f t="shared" si="11"/>
        <v/>
      </c>
      <c r="U16" s="175" t="str">
        <f t="shared" si="12"/>
        <v/>
      </c>
      <c r="V16" s="175" t="str">
        <f t="shared" si="13"/>
        <v/>
      </c>
      <c r="W16" s="175" t="str">
        <f t="shared" si="14"/>
        <v/>
      </c>
      <c r="X16" s="175" t="str">
        <f t="shared" si="15"/>
        <v/>
      </c>
      <c r="Z16" s="175" t="str">
        <f t="shared" si="16"/>
        <v>J1</v>
      </c>
      <c r="AA16" s="175" t="str">
        <f t="shared" si="17"/>
        <v>J2</v>
      </c>
      <c r="AB16" s="175" t="str">
        <f t="shared" si="18"/>
        <v>J3</v>
      </c>
      <c r="AC16" s="175" t="str">
        <f t="shared" si="19"/>
        <v>J4</v>
      </c>
      <c r="AD16" s="175" t="str">
        <f t="shared" si="20"/>
        <v/>
      </c>
      <c r="AE16" s="175" t="str">
        <f t="shared" si="21"/>
        <v/>
      </c>
      <c r="AF16" s="175" t="str">
        <f t="shared" si="22"/>
        <v/>
      </c>
      <c r="AG16" s="175" t="str">
        <f t="shared" si="23"/>
        <v/>
      </c>
      <c r="AH16" s="175" t="str">
        <f t="shared" si="24"/>
        <v/>
      </c>
      <c r="AI16" s="175" t="str">
        <f t="shared" si="25"/>
        <v/>
      </c>
    </row>
    <row r="17" spans="1:35" x14ac:dyDescent="0.25">
      <c r="A17" s="167">
        <v>15</v>
      </c>
      <c r="B17" s="163" t="s">
        <v>106</v>
      </c>
      <c r="C17" s="163" t="s">
        <v>107</v>
      </c>
      <c r="D17" s="218">
        <v>2</v>
      </c>
      <c r="E17" s="218"/>
      <c r="F17" s="218">
        <v>1</v>
      </c>
      <c r="G17" s="181">
        <f t="shared" si="0"/>
        <v>3</v>
      </c>
      <c r="H17" s="200"/>
      <c r="I17" t="str">
        <f t="shared" si="1"/>
        <v>G1</v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3">
        <v>16</v>
      </c>
      <c r="B18" s="174" t="s">
        <v>108</v>
      </c>
      <c r="C18" s="174" t="s">
        <v>109</v>
      </c>
      <c r="D18" s="218">
        <v>2</v>
      </c>
      <c r="E18" s="218">
        <v>1</v>
      </c>
      <c r="F18" s="218"/>
      <c r="G18" s="204">
        <f t="shared" si="0"/>
        <v>3</v>
      </c>
      <c r="H18" s="200"/>
      <c r="I18" s="175" t="str">
        <f t="shared" si="1"/>
        <v/>
      </c>
      <c r="J18" s="175" t="str">
        <f t="shared" si="2"/>
        <v/>
      </c>
      <c r="K18" s="175" t="str">
        <f t="shared" si="3"/>
        <v/>
      </c>
      <c r="L18" s="175" t="str">
        <f t="shared" si="4"/>
        <v/>
      </c>
      <c r="M18" s="175" t="str">
        <f t="shared" si="5"/>
        <v/>
      </c>
      <c r="O18" s="175" t="str">
        <f t="shared" si="6"/>
        <v>M1</v>
      </c>
      <c r="P18" s="175" t="str">
        <f t="shared" si="7"/>
        <v/>
      </c>
      <c r="Q18" s="175" t="str">
        <f t="shared" si="8"/>
        <v/>
      </c>
      <c r="R18" s="175" t="str">
        <f t="shared" si="9"/>
        <v/>
      </c>
      <c r="S18" s="175" t="str">
        <f t="shared" si="10"/>
        <v/>
      </c>
      <c r="T18" s="175" t="str">
        <f t="shared" si="11"/>
        <v/>
      </c>
      <c r="U18" s="175" t="str">
        <f t="shared" si="12"/>
        <v/>
      </c>
      <c r="V18" s="175" t="str">
        <f t="shared" si="13"/>
        <v/>
      </c>
      <c r="W18" s="175" t="str">
        <f t="shared" si="14"/>
        <v/>
      </c>
      <c r="X18" s="175" t="str">
        <f t="shared" si="15"/>
        <v/>
      </c>
      <c r="Z18" s="175" t="str">
        <f t="shared" si="16"/>
        <v>J1</v>
      </c>
      <c r="AA18" s="175" t="str">
        <f t="shared" si="17"/>
        <v>J2</v>
      </c>
      <c r="AB18" s="175" t="str">
        <f t="shared" si="18"/>
        <v/>
      </c>
      <c r="AC18" s="175" t="str">
        <f t="shared" si="19"/>
        <v/>
      </c>
      <c r="AD18" s="175" t="str">
        <f t="shared" si="20"/>
        <v/>
      </c>
      <c r="AE18" s="175" t="str">
        <f t="shared" si="21"/>
        <v/>
      </c>
      <c r="AF18" s="175" t="str">
        <f t="shared" si="22"/>
        <v/>
      </c>
      <c r="AG18" s="175" t="str">
        <f t="shared" si="23"/>
        <v/>
      </c>
      <c r="AH18" s="175" t="str">
        <f t="shared" si="24"/>
        <v/>
      </c>
      <c r="AI18" s="175" t="str">
        <f t="shared" si="25"/>
        <v/>
      </c>
    </row>
    <row r="19" spans="1:35" x14ac:dyDescent="0.25">
      <c r="A19" s="167">
        <v>17</v>
      </c>
      <c r="B19" s="163" t="s">
        <v>110</v>
      </c>
      <c r="C19" s="163" t="s">
        <v>111</v>
      </c>
      <c r="D19" s="218">
        <v>1</v>
      </c>
      <c r="E19" s="218"/>
      <c r="F19" s="218"/>
      <c r="G19" s="181">
        <f t="shared" si="0"/>
        <v>1</v>
      </c>
      <c r="H19" s="200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3">
        <v>18</v>
      </c>
      <c r="B20" s="174" t="s">
        <v>112</v>
      </c>
      <c r="C20" s="174" t="s">
        <v>113</v>
      </c>
      <c r="D20" s="218">
        <v>1</v>
      </c>
      <c r="E20" s="218"/>
      <c r="F20" s="218"/>
      <c r="G20" s="204">
        <f t="shared" si="0"/>
        <v>1</v>
      </c>
      <c r="H20" s="200"/>
      <c r="I20" s="175" t="str">
        <f t="shared" si="1"/>
        <v/>
      </c>
      <c r="J20" s="175" t="str">
        <f>IF(AND($F20&lt;&gt;"",$F20&gt;=2),"G2","")</f>
        <v/>
      </c>
      <c r="K20" s="175" t="str">
        <f t="shared" si="3"/>
        <v/>
      </c>
      <c r="L20" s="175" t="str">
        <f t="shared" si="4"/>
        <v/>
      </c>
      <c r="M20" s="175" t="str">
        <f t="shared" si="5"/>
        <v/>
      </c>
      <c r="O20" s="175" t="str">
        <f t="shared" si="6"/>
        <v/>
      </c>
      <c r="P20" s="175" t="str">
        <f t="shared" si="7"/>
        <v/>
      </c>
      <c r="Q20" s="175" t="str">
        <f t="shared" si="8"/>
        <v/>
      </c>
      <c r="R20" s="175" t="str">
        <f t="shared" si="9"/>
        <v/>
      </c>
      <c r="S20" s="175" t="str">
        <f t="shared" si="10"/>
        <v/>
      </c>
      <c r="T20" s="175" t="str">
        <f t="shared" si="11"/>
        <v/>
      </c>
      <c r="U20" s="175" t="str">
        <f t="shared" si="12"/>
        <v/>
      </c>
      <c r="V20" s="175" t="str">
        <f t="shared" si="13"/>
        <v/>
      </c>
      <c r="W20" s="175" t="str">
        <f t="shared" si="14"/>
        <v/>
      </c>
      <c r="X20" s="175" t="str">
        <f t="shared" si="15"/>
        <v/>
      </c>
      <c r="Z20" s="175" t="str">
        <f t="shared" si="16"/>
        <v>J1</v>
      </c>
      <c r="AA20" s="175" t="str">
        <f t="shared" si="17"/>
        <v/>
      </c>
      <c r="AB20" s="175" t="str">
        <f t="shared" si="18"/>
        <v/>
      </c>
      <c r="AC20" s="175" t="str">
        <f t="shared" si="19"/>
        <v/>
      </c>
      <c r="AD20" s="175" t="str">
        <f t="shared" si="20"/>
        <v/>
      </c>
      <c r="AE20" s="175" t="str">
        <f t="shared" si="21"/>
        <v/>
      </c>
      <c r="AF20" s="175" t="str">
        <f t="shared" si="22"/>
        <v/>
      </c>
      <c r="AG20" s="175" t="str">
        <f t="shared" si="23"/>
        <v/>
      </c>
      <c r="AH20" s="175" t="str">
        <f t="shared" si="24"/>
        <v/>
      </c>
      <c r="AI20" s="175" t="str">
        <f t="shared" si="25"/>
        <v/>
      </c>
    </row>
    <row r="21" spans="1:35" x14ac:dyDescent="0.25">
      <c r="A21" s="167">
        <v>19</v>
      </c>
      <c r="B21" s="163" t="s">
        <v>114</v>
      </c>
      <c r="C21" s="163" t="s">
        <v>115</v>
      </c>
      <c r="D21" s="218">
        <v>10</v>
      </c>
      <c r="E21" s="218">
        <v>5</v>
      </c>
      <c r="F21" s="218">
        <v>3</v>
      </c>
      <c r="G21" s="181">
        <f t="shared" si="0"/>
        <v>18</v>
      </c>
      <c r="H21" s="200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>J10</v>
      </c>
    </row>
    <row r="22" spans="1:35" x14ac:dyDescent="0.25">
      <c r="A22" s="173">
        <v>20</v>
      </c>
      <c r="B22" s="174" t="s">
        <v>116</v>
      </c>
      <c r="C22" s="174" t="s">
        <v>117</v>
      </c>
      <c r="D22" s="218">
        <v>5</v>
      </c>
      <c r="E22" s="218">
        <v>2</v>
      </c>
      <c r="F22" s="218"/>
      <c r="G22" s="204">
        <f t="shared" si="0"/>
        <v>7</v>
      </c>
      <c r="H22" s="200"/>
      <c r="I22" s="175" t="str">
        <f t="shared" si="1"/>
        <v/>
      </c>
      <c r="J22" s="175" t="str">
        <f t="shared" si="2"/>
        <v/>
      </c>
      <c r="K22" s="175" t="str">
        <f t="shared" si="3"/>
        <v/>
      </c>
      <c r="L22" s="175" t="str">
        <f t="shared" si="4"/>
        <v/>
      </c>
      <c r="M22" s="175" t="str">
        <f t="shared" si="5"/>
        <v/>
      </c>
      <c r="O22" s="175" t="str">
        <f t="shared" si="6"/>
        <v>M1</v>
      </c>
      <c r="P22" s="175" t="str">
        <f t="shared" si="7"/>
        <v>M2</v>
      </c>
      <c r="Q22" s="175" t="str">
        <f t="shared" si="8"/>
        <v/>
      </c>
      <c r="R22" s="175" t="str">
        <f t="shared" si="9"/>
        <v/>
      </c>
      <c r="S22" s="175" t="str">
        <f t="shared" si="10"/>
        <v/>
      </c>
      <c r="T22" s="175" t="str">
        <f t="shared" si="11"/>
        <v/>
      </c>
      <c r="U22" s="175" t="str">
        <f t="shared" si="12"/>
        <v/>
      </c>
      <c r="V22" s="175" t="str">
        <f t="shared" si="13"/>
        <v/>
      </c>
      <c r="W22" s="175" t="str">
        <f t="shared" si="14"/>
        <v/>
      </c>
      <c r="X22" s="175" t="str">
        <f t="shared" si="15"/>
        <v/>
      </c>
      <c r="Z22" s="175" t="str">
        <f t="shared" si="16"/>
        <v>J1</v>
      </c>
      <c r="AA22" s="175" t="str">
        <f t="shared" si="17"/>
        <v>J2</v>
      </c>
      <c r="AB22" s="175" t="str">
        <f t="shared" si="18"/>
        <v>J3</v>
      </c>
      <c r="AC22" s="175" t="str">
        <f t="shared" si="19"/>
        <v>J4</v>
      </c>
      <c r="AD22" s="175" t="str">
        <f t="shared" si="20"/>
        <v>J5</v>
      </c>
      <c r="AE22" s="175" t="str">
        <f t="shared" si="21"/>
        <v/>
      </c>
      <c r="AF22" s="175" t="str">
        <f t="shared" si="22"/>
        <v/>
      </c>
      <c r="AG22" s="175" t="str">
        <f t="shared" si="23"/>
        <v/>
      </c>
      <c r="AH22" s="175" t="str">
        <f t="shared" si="24"/>
        <v/>
      </c>
      <c r="AI22" s="175" t="str">
        <f t="shared" si="25"/>
        <v/>
      </c>
    </row>
    <row r="23" spans="1:35" x14ac:dyDescent="0.25">
      <c r="A23" s="167">
        <v>21</v>
      </c>
      <c r="B23" s="163" t="s">
        <v>118</v>
      </c>
      <c r="C23" s="165" t="s">
        <v>150</v>
      </c>
      <c r="D23" s="218">
        <v>2</v>
      </c>
      <c r="E23" s="219"/>
      <c r="F23" s="219"/>
      <c r="G23" s="181">
        <f t="shared" si="0"/>
        <v>2</v>
      </c>
      <c r="H23" s="206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>J2</v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3">
        <v>22</v>
      </c>
      <c r="B24" s="174" t="s">
        <v>119</v>
      </c>
      <c r="C24" s="174" t="s">
        <v>120</v>
      </c>
      <c r="D24" s="218">
        <v>2</v>
      </c>
      <c r="E24" s="218"/>
      <c r="F24" s="218"/>
      <c r="G24" s="204">
        <f t="shared" si="0"/>
        <v>2</v>
      </c>
      <c r="H24" s="200"/>
      <c r="I24" s="175" t="str">
        <f t="shared" si="1"/>
        <v/>
      </c>
      <c r="J24" s="175" t="str">
        <f t="shared" si="2"/>
        <v/>
      </c>
      <c r="K24" s="175" t="str">
        <f t="shared" si="3"/>
        <v/>
      </c>
      <c r="L24" s="175" t="str">
        <f t="shared" si="4"/>
        <v/>
      </c>
      <c r="M24" s="175" t="str">
        <f t="shared" si="5"/>
        <v/>
      </c>
      <c r="O24" s="175" t="str">
        <f t="shared" si="6"/>
        <v/>
      </c>
      <c r="P24" s="175" t="str">
        <f t="shared" si="7"/>
        <v/>
      </c>
      <c r="Q24" s="175" t="str">
        <f t="shared" si="8"/>
        <v/>
      </c>
      <c r="R24" s="175" t="str">
        <f t="shared" si="9"/>
        <v/>
      </c>
      <c r="S24" s="175" t="str">
        <f t="shared" si="10"/>
        <v/>
      </c>
      <c r="T24" s="175" t="str">
        <f t="shared" si="11"/>
        <v/>
      </c>
      <c r="U24" s="175" t="str">
        <f t="shared" si="12"/>
        <v/>
      </c>
      <c r="V24" s="175" t="str">
        <f t="shared" si="13"/>
        <v/>
      </c>
      <c r="W24" s="175" t="str">
        <f t="shared" si="14"/>
        <v/>
      </c>
      <c r="X24" s="175" t="str">
        <f t="shared" si="15"/>
        <v/>
      </c>
      <c r="Z24" s="175" t="str">
        <f t="shared" si="16"/>
        <v>J1</v>
      </c>
      <c r="AA24" s="175" t="str">
        <f t="shared" si="17"/>
        <v>J2</v>
      </c>
      <c r="AB24" s="175" t="str">
        <f t="shared" si="18"/>
        <v/>
      </c>
      <c r="AC24" s="175" t="str">
        <f t="shared" si="19"/>
        <v/>
      </c>
      <c r="AD24" s="175" t="str">
        <f t="shared" si="20"/>
        <v/>
      </c>
      <c r="AE24" s="175" t="str">
        <f t="shared" si="21"/>
        <v/>
      </c>
      <c r="AF24" s="175" t="str">
        <f t="shared" si="22"/>
        <v/>
      </c>
      <c r="AG24" s="175" t="str">
        <f t="shared" si="23"/>
        <v/>
      </c>
      <c r="AH24" s="175" t="str">
        <f t="shared" si="24"/>
        <v/>
      </c>
      <c r="AI24" s="175" t="str">
        <f t="shared" si="25"/>
        <v/>
      </c>
    </row>
    <row r="25" spans="1:35" x14ac:dyDescent="0.25">
      <c r="A25" s="167">
        <v>23</v>
      </c>
      <c r="B25" s="163" t="s">
        <v>121</v>
      </c>
      <c r="C25" s="163" t="s">
        <v>122</v>
      </c>
      <c r="D25" s="218">
        <v>2</v>
      </c>
      <c r="E25" s="218">
        <v>2</v>
      </c>
      <c r="F25" s="218"/>
      <c r="G25" s="181">
        <f t="shared" si="0"/>
        <v>4</v>
      </c>
      <c r="H25" s="200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3">
        <v>24</v>
      </c>
      <c r="B26" s="203" t="s">
        <v>239</v>
      </c>
      <c r="C26" s="203" t="s">
        <v>240</v>
      </c>
      <c r="D26" s="218"/>
      <c r="E26" s="218"/>
      <c r="F26" s="218">
        <v>1</v>
      </c>
      <c r="G26" s="204">
        <f t="shared" si="0"/>
        <v>1</v>
      </c>
      <c r="H26" s="200"/>
      <c r="I26" s="175" t="str">
        <f t="shared" si="1"/>
        <v>G1</v>
      </c>
      <c r="J26" s="175" t="str">
        <f t="shared" si="2"/>
        <v/>
      </c>
      <c r="K26" s="175" t="str">
        <f t="shared" si="3"/>
        <v/>
      </c>
      <c r="L26" s="175" t="str">
        <f t="shared" si="4"/>
        <v/>
      </c>
      <c r="M26" s="175" t="str">
        <f t="shared" si="5"/>
        <v/>
      </c>
      <c r="O26" s="175" t="str">
        <f t="shared" si="6"/>
        <v/>
      </c>
      <c r="P26" s="175" t="str">
        <f t="shared" si="7"/>
        <v/>
      </c>
      <c r="Q26" s="175" t="str">
        <f t="shared" si="8"/>
        <v/>
      </c>
      <c r="R26" s="175" t="str">
        <f t="shared" si="9"/>
        <v/>
      </c>
      <c r="S26" s="175" t="str">
        <f t="shared" si="10"/>
        <v/>
      </c>
      <c r="T26" s="175" t="str">
        <f t="shared" si="11"/>
        <v/>
      </c>
      <c r="U26" s="175" t="str">
        <f t="shared" si="12"/>
        <v/>
      </c>
      <c r="V26" s="175" t="str">
        <f t="shared" si="13"/>
        <v/>
      </c>
      <c r="W26" s="175" t="str">
        <f t="shared" si="14"/>
        <v/>
      </c>
      <c r="X26" s="175" t="str">
        <f t="shared" si="15"/>
        <v/>
      </c>
      <c r="Z26" s="175" t="str">
        <f t="shared" si="16"/>
        <v/>
      </c>
      <c r="AA26" s="175" t="str">
        <f t="shared" si="17"/>
        <v/>
      </c>
      <c r="AB26" s="175" t="str">
        <f t="shared" si="18"/>
        <v/>
      </c>
      <c r="AC26" s="175" t="str">
        <f t="shared" si="19"/>
        <v/>
      </c>
      <c r="AD26" s="175" t="str">
        <f t="shared" si="20"/>
        <v/>
      </c>
      <c r="AE26" s="175" t="str">
        <f t="shared" si="21"/>
        <v/>
      </c>
      <c r="AF26" s="175" t="str">
        <f t="shared" si="22"/>
        <v/>
      </c>
      <c r="AG26" s="175" t="str">
        <f t="shared" si="23"/>
        <v/>
      </c>
      <c r="AH26" s="175" t="str">
        <f t="shared" si="24"/>
        <v/>
      </c>
      <c r="AI26" s="175" t="str">
        <f t="shared" si="25"/>
        <v/>
      </c>
    </row>
    <row r="27" spans="1:35" x14ac:dyDescent="0.25">
      <c r="A27" s="167">
        <v>25</v>
      </c>
      <c r="B27" s="163" t="s">
        <v>123</v>
      </c>
      <c r="C27" s="163" t="s">
        <v>124</v>
      </c>
      <c r="D27" s="218">
        <v>3</v>
      </c>
      <c r="E27" s="218">
        <v>1</v>
      </c>
      <c r="F27" s="218"/>
      <c r="G27" s="181">
        <f t="shared" si="0"/>
        <v>4</v>
      </c>
      <c r="H27" s="200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3">
        <v>26</v>
      </c>
      <c r="B28" s="174" t="s">
        <v>125</v>
      </c>
      <c r="C28" s="174" t="s">
        <v>126</v>
      </c>
      <c r="D28" s="218">
        <v>1</v>
      </c>
      <c r="E28" s="218">
        <v>1</v>
      </c>
      <c r="F28" s="218">
        <v>1</v>
      </c>
      <c r="G28" s="204">
        <f t="shared" si="0"/>
        <v>3</v>
      </c>
      <c r="H28" s="200"/>
      <c r="I28" s="175" t="str">
        <f t="shared" si="1"/>
        <v>G1</v>
      </c>
      <c r="J28" s="175" t="str">
        <f t="shared" si="2"/>
        <v/>
      </c>
      <c r="K28" s="175" t="str">
        <f t="shared" si="3"/>
        <v/>
      </c>
      <c r="L28" s="175" t="str">
        <f t="shared" si="4"/>
        <v/>
      </c>
      <c r="M28" s="175" t="str">
        <f t="shared" si="5"/>
        <v/>
      </c>
      <c r="O28" s="175" t="str">
        <f t="shared" si="6"/>
        <v>M1</v>
      </c>
      <c r="P28" s="175" t="str">
        <f t="shared" si="7"/>
        <v/>
      </c>
      <c r="Q28" s="175" t="str">
        <f t="shared" si="8"/>
        <v/>
      </c>
      <c r="R28" s="175" t="str">
        <f t="shared" si="9"/>
        <v/>
      </c>
      <c r="S28" s="175" t="str">
        <f t="shared" si="10"/>
        <v/>
      </c>
      <c r="T28" s="175" t="str">
        <f t="shared" si="11"/>
        <v/>
      </c>
      <c r="U28" s="175" t="str">
        <f t="shared" si="12"/>
        <v/>
      </c>
      <c r="V28" s="175" t="str">
        <f t="shared" si="13"/>
        <v/>
      </c>
      <c r="W28" s="175" t="str">
        <f t="shared" si="14"/>
        <v/>
      </c>
      <c r="X28" s="175" t="str">
        <f t="shared" si="15"/>
        <v/>
      </c>
      <c r="Z28" s="175" t="str">
        <f t="shared" si="16"/>
        <v>J1</v>
      </c>
      <c r="AA28" s="175" t="str">
        <f t="shared" si="17"/>
        <v/>
      </c>
      <c r="AB28" s="175" t="str">
        <f t="shared" si="18"/>
        <v/>
      </c>
      <c r="AC28" s="175" t="str">
        <f t="shared" si="19"/>
        <v/>
      </c>
      <c r="AD28" s="175" t="str">
        <f t="shared" si="20"/>
        <v/>
      </c>
      <c r="AE28" s="175" t="str">
        <f t="shared" si="21"/>
        <v/>
      </c>
      <c r="AF28" s="175" t="str">
        <f t="shared" si="22"/>
        <v/>
      </c>
      <c r="AG28" s="175" t="str">
        <f t="shared" si="23"/>
        <v/>
      </c>
      <c r="AH28" s="175" t="str">
        <f t="shared" si="24"/>
        <v/>
      </c>
      <c r="AI28" s="175" t="str">
        <f t="shared" si="25"/>
        <v/>
      </c>
    </row>
    <row r="29" spans="1:35" x14ac:dyDescent="0.25">
      <c r="A29" s="167">
        <v>27</v>
      </c>
      <c r="B29" s="163" t="s">
        <v>127</v>
      </c>
      <c r="C29" s="163" t="s">
        <v>127</v>
      </c>
      <c r="D29" s="218">
        <v>3</v>
      </c>
      <c r="E29" s="218">
        <v>1</v>
      </c>
      <c r="F29" s="218">
        <v>2</v>
      </c>
      <c r="G29" s="181">
        <f t="shared" si="0"/>
        <v>6</v>
      </c>
      <c r="H29" s="200"/>
      <c r="I29" t="str">
        <f t="shared" si="1"/>
        <v>G1</v>
      </c>
      <c r="J29" t="str">
        <f t="shared" si="2"/>
        <v>G2</v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3">
        <v>28</v>
      </c>
      <c r="B30" s="174" t="s">
        <v>128</v>
      </c>
      <c r="C30" s="174" t="s">
        <v>129</v>
      </c>
      <c r="D30" s="218"/>
      <c r="E30" s="218"/>
      <c r="F30" s="218"/>
      <c r="G30" s="204">
        <f t="shared" si="0"/>
        <v>0</v>
      </c>
      <c r="H30" s="200"/>
      <c r="I30" s="175" t="str">
        <f t="shared" si="1"/>
        <v/>
      </c>
      <c r="J30" s="175" t="str">
        <f t="shared" si="2"/>
        <v/>
      </c>
      <c r="K30" s="175" t="str">
        <f t="shared" si="3"/>
        <v/>
      </c>
      <c r="L30" s="175" t="str">
        <f t="shared" si="4"/>
        <v/>
      </c>
      <c r="M30" s="175" t="str">
        <f t="shared" si="5"/>
        <v/>
      </c>
      <c r="O30" s="175" t="str">
        <f t="shared" si="6"/>
        <v/>
      </c>
      <c r="P30" s="175" t="str">
        <f t="shared" si="7"/>
        <v/>
      </c>
      <c r="Q30" s="175" t="str">
        <f t="shared" si="8"/>
        <v/>
      </c>
      <c r="R30" s="175" t="str">
        <f t="shared" si="9"/>
        <v/>
      </c>
      <c r="S30" s="175" t="str">
        <f t="shared" si="10"/>
        <v/>
      </c>
      <c r="T30" s="175" t="str">
        <f t="shared" si="11"/>
        <v/>
      </c>
      <c r="U30" s="175" t="str">
        <f t="shared" si="12"/>
        <v/>
      </c>
      <c r="V30" s="175" t="str">
        <f t="shared" si="13"/>
        <v/>
      </c>
      <c r="W30" s="175" t="str">
        <f t="shared" si="14"/>
        <v/>
      </c>
      <c r="X30" s="175" t="str">
        <f t="shared" si="15"/>
        <v/>
      </c>
      <c r="Z30" s="175" t="str">
        <f t="shared" si="16"/>
        <v/>
      </c>
      <c r="AA30" s="175" t="str">
        <f t="shared" si="17"/>
        <v/>
      </c>
      <c r="AB30" s="175" t="str">
        <f t="shared" si="18"/>
        <v/>
      </c>
      <c r="AC30" s="175" t="str">
        <f t="shared" si="19"/>
        <v/>
      </c>
      <c r="AD30" s="175" t="str">
        <f t="shared" si="20"/>
        <v/>
      </c>
      <c r="AE30" s="175" t="str">
        <f t="shared" si="21"/>
        <v/>
      </c>
      <c r="AF30" s="175" t="str">
        <f t="shared" si="22"/>
        <v/>
      </c>
      <c r="AG30" s="175" t="str">
        <f t="shared" si="23"/>
        <v/>
      </c>
      <c r="AH30" s="175" t="str">
        <f t="shared" si="24"/>
        <v/>
      </c>
      <c r="AI30" s="175" t="str">
        <f t="shared" si="25"/>
        <v/>
      </c>
    </row>
    <row r="31" spans="1:35" x14ac:dyDescent="0.25">
      <c r="A31" s="201">
        <v>29</v>
      </c>
      <c r="B31" s="202" t="s">
        <v>130</v>
      </c>
      <c r="C31" s="202" t="s">
        <v>131</v>
      </c>
      <c r="D31" s="220">
        <v>3</v>
      </c>
      <c r="E31" s="220">
        <v>2</v>
      </c>
      <c r="F31" s="220"/>
      <c r="G31" s="181">
        <f t="shared" si="0"/>
        <v>5</v>
      </c>
      <c r="H31" s="200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76">
        <v>30</v>
      </c>
      <c r="B32" s="199" t="s">
        <v>241</v>
      </c>
      <c r="C32" s="221" t="s">
        <v>242</v>
      </c>
      <c r="D32" s="222">
        <v>5</v>
      </c>
      <c r="E32" s="222">
        <v>3</v>
      </c>
      <c r="F32" s="222">
        <v>1</v>
      </c>
      <c r="G32" s="204">
        <f t="shared" ref="G32" si="26">SUM(D32:F32)</f>
        <v>9</v>
      </c>
      <c r="H32" s="200"/>
      <c r="I32" s="175" t="str">
        <f t="shared" si="1"/>
        <v>G1</v>
      </c>
      <c r="J32" s="175" t="str">
        <f t="shared" si="2"/>
        <v/>
      </c>
      <c r="K32" s="175" t="str">
        <f t="shared" si="3"/>
        <v/>
      </c>
      <c r="L32" s="175" t="str">
        <f t="shared" si="4"/>
        <v/>
      </c>
      <c r="M32" s="175" t="str">
        <f t="shared" si="5"/>
        <v/>
      </c>
      <c r="O32" s="175" t="str">
        <f t="shared" si="6"/>
        <v>M1</v>
      </c>
      <c r="P32" s="175" t="str">
        <f t="shared" si="7"/>
        <v>M2</v>
      </c>
      <c r="Q32" s="175" t="str">
        <f t="shared" si="8"/>
        <v>M3</v>
      </c>
      <c r="R32" s="175" t="str">
        <f t="shared" si="9"/>
        <v/>
      </c>
      <c r="S32" s="175" t="str">
        <f t="shared" si="10"/>
        <v/>
      </c>
      <c r="T32" s="175" t="str">
        <f t="shared" si="11"/>
        <v/>
      </c>
      <c r="U32" s="175" t="str">
        <f t="shared" si="12"/>
        <v/>
      </c>
      <c r="V32" s="175" t="str">
        <f t="shared" si="13"/>
        <v/>
      </c>
      <c r="W32" s="175" t="str">
        <f t="shared" si="14"/>
        <v/>
      </c>
      <c r="X32" s="175" t="str">
        <f t="shared" si="15"/>
        <v/>
      </c>
      <c r="Z32" s="175" t="str">
        <f t="shared" si="16"/>
        <v>J1</v>
      </c>
      <c r="AA32" s="175" t="str">
        <f t="shared" si="17"/>
        <v>J2</v>
      </c>
      <c r="AB32" s="175" t="str">
        <f t="shared" si="18"/>
        <v>J3</v>
      </c>
      <c r="AC32" s="175" t="str">
        <f t="shared" si="19"/>
        <v>J4</v>
      </c>
      <c r="AD32" s="175" t="str">
        <f t="shared" si="20"/>
        <v>J5</v>
      </c>
      <c r="AE32" s="175" t="str">
        <f t="shared" si="21"/>
        <v/>
      </c>
      <c r="AF32" s="175" t="str">
        <f t="shared" si="22"/>
        <v/>
      </c>
      <c r="AG32" s="175" t="str">
        <f t="shared" si="23"/>
        <v/>
      </c>
      <c r="AH32" s="175" t="str">
        <f t="shared" si="24"/>
        <v/>
      </c>
      <c r="AI32" s="175" t="str">
        <f t="shared" si="25"/>
        <v/>
      </c>
    </row>
    <row r="34" spans="9:35" x14ac:dyDescent="0.25">
      <c r="I34" s="166"/>
      <c r="J34" s="166"/>
      <c r="K34" s="166"/>
      <c r="L34" s="166"/>
      <c r="O34" s="166"/>
      <c r="P34" s="166"/>
      <c r="Q34" s="166"/>
      <c r="R34" s="166"/>
      <c r="S34" s="166"/>
      <c r="T34" s="166"/>
      <c r="U34" s="166"/>
      <c r="V34" s="166"/>
      <c r="W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E21" sqref="E21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0" t="s">
        <v>223</v>
      </c>
      <c r="I1" s="110" t="s">
        <v>224</v>
      </c>
      <c r="M1" s="110" t="s">
        <v>225</v>
      </c>
    </row>
    <row r="2" spans="1:13" x14ac:dyDescent="0.25">
      <c r="A2" s="169" t="s">
        <v>72</v>
      </c>
      <c r="B2" s="170" t="s">
        <v>73</v>
      </c>
      <c r="C2" s="170" t="s">
        <v>74</v>
      </c>
      <c r="E2" s="179" t="s">
        <v>63</v>
      </c>
      <c r="F2" s="179" t="s">
        <v>316</v>
      </c>
      <c r="G2" s="179" t="s">
        <v>317</v>
      </c>
      <c r="I2" s="179" t="s">
        <v>63</v>
      </c>
      <c r="J2" s="179" t="s">
        <v>316</v>
      </c>
      <c r="K2" s="179" t="s">
        <v>317</v>
      </c>
      <c r="M2" s="179" t="s">
        <v>13</v>
      </c>
    </row>
    <row r="3" spans="1:13" x14ac:dyDescent="0.25">
      <c r="A3" s="167">
        <v>1</v>
      </c>
      <c r="B3" s="163" t="s">
        <v>78</v>
      </c>
      <c r="C3" s="163" t="s">
        <v>79</v>
      </c>
      <c r="E3" s="178">
        <v>41</v>
      </c>
      <c r="F3" s="178"/>
      <c r="G3" s="178"/>
      <c r="I3" s="178">
        <v>4</v>
      </c>
      <c r="J3" s="178">
        <v>3</v>
      </c>
      <c r="K3" s="178"/>
      <c r="M3" s="178">
        <f t="shared" ref="M3:M32" si="0">SUM($E3:$G3)/SUM(I3:K3)</f>
        <v>5.8571428571428568</v>
      </c>
    </row>
    <row r="4" spans="1:13" x14ac:dyDescent="0.25">
      <c r="A4" s="173">
        <v>2</v>
      </c>
      <c r="B4" s="174" t="s">
        <v>80</v>
      </c>
      <c r="C4" s="174" t="s">
        <v>81</v>
      </c>
      <c r="E4" s="178">
        <v>46</v>
      </c>
      <c r="F4" s="178"/>
      <c r="G4" s="178"/>
      <c r="I4" s="178">
        <v>5</v>
      </c>
      <c r="J4" s="178">
        <v>3</v>
      </c>
      <c r="K4" s="178"/>
      <c r="M4" s="178">
        <f t="shared" si="0"/>
        <v>5.75</v>
      </c>
    </row>
    <row r="5" spans="1:13" x14ac:dyDescent="0.25">
      <c r="A5" s="167">
        <v>3</v>
      </c>
      <c r="B5" s="163" t="s">
        <v>82</v>
      </c>
      <c r="C5" s="163" t="s">
        <v>83</v>
      </c>
      <c r="E5" s="178">
        <v>63</v>
      </c>
      <c r="F5" s="178"/>
      <c r="G5" s="178"/>
      <c r="I5" s="178">
        <v>8</v>
      </c>
      <c r="J5" s="178">
        <v>9</v>
      </c>
      <c r="K5" s="178"/>
      <c r="M5" s="178">
        <f t="shared" si="0"/>
        <v>3.7058823529411766</v>
      </c>
    </row>
    <row r="6" spans="1:13" x14ac:dyDescent="0.25">
      <c r="A6" s="173">
        <v>4</v>
      </c>
      <c r="B6" s="174" t="s">
        <v>84</v>
      </c>
      <c r="C6" s="174" t="s">
        <v>85</v>
      </c>
      <c r="E6" s="178">
        <v>6</v>
      </c>
      <c r="F6" s="178"/>
      <c r="G6" s="178"/>
      <c r="I6" s="178">
        <v>1</v>
      </c>
      <c r="J6" s="178">
        <v>2</v>
      </c>
      <c r="K6" s="178"/>
      <c r="M6" s="178">
        <f t="shared" si="0"/>
        <v>2</v>
      </c>
    </row>
    <row r="7" spans="1:13" x14ac:dyDescent="0.25">
      <c r="A7" s="167">
        <v>5</v>
      </c>
      <c r="B7" s="163" t="s">
        <v>86</v>
      </c>
      <c r="C7" s="163" t="s">
        <v>87</v>
      </c>
      <c r="E7" s="178">
        <v>22</v>
      </c>
      <c r="F7" s="178"/>
      <c r="G7" s="178"/>
      <c r="I7" s="178">
        <v>2</v>
      </c>
      <c r="J7" s="178">
        <v>3</v>
      </c>
      <c r="K7" s="178"/>
      <c r="M7" s="178">
        <f t="shared" si="0"/>
        <v>4.4000000000000004</v>
      </c>
    </row>
    <row r="8" spans="1:13" x14ac:dyDescent="0.25">
      <c r="A8" s="173">
        <v>6</v>
      </c>
      <c r="B8" s="174" t="s">
        <v>88</v>
      </c>
      <c r="C8" s="174" t="s">
        <v>89</v>
      </c>
      <c r="E8" s="178">
        <v>29</v>
      </c>
      <c r="F8" s="178"/>
      <c r="G8" s="178"/>
      <c r="I8" s="178">
        <v>3</v>
      </c>
      <c r="J8" s="178">
        <v>3</v>
      </c>
      <c r="K8" s="178"/>
      <c r="M8" s="178">
        <f t="shared" si="0"/>
        <v>4.833333333333333</v>
      </c>
    </row>
    <row r="9" spans="1:13" x14ac:dyDescent="0.25">
      <c r="A9" s="167">
        <v>7</v>
      </c>
      <c r="B9" s="163" t="s">
        <v>90</v>
      </c>
      <c r="C9" s="163" t="s">
        <v>91</v>
      </c>
      <c r="E9" s="178">
        <v>43</v>
      </c>
      <c r="F9" s="178"/>
      <c r="G9" s="178"/>
      <c r="I9" s="178">
        <v>4</v>
      </c>
      <c r="J9" s="178">
        <v>3</v>
      </c>
      <c r="K9" s="178"/>
      <c r="M9" s="178">
        <f t="shared" si="0"/>
        <v>6.1428571428571432</v>
      </c>
    </row>
    <row r="10" spans="1:13" x14ac:dyDescent="0.25">
      <c r="A10" s="173">
        <v>8</v>
      </c>
      <c r="B10" s="174" t="s">
        <v>92</v>
      </c>
      <c r="C10" s="174" t="s">
        <v>93</v>
      </c>
      <c r="E10" s="178">
        <v>69</v>
      </c>
      <c r="F10" s="178"/>
      <c r="G10" s="178"/>
      <c r="I10" s="178">
        <v>8</v>
      </c>
      <c r="J10" s="178">
        <v>6</v>
      </c>
      <c r="K10" s="178"/>
      <c r="M10" s="178">
        <f t="shared" si="0"/>
        <v>4.9285714285714288</v>
      </c>
    </row>
    <row r="11" spans="1:13" x14ac:dyDescent="0.25">
      <c r="A11" s="167">
        <v>9</v>
      </c>
      <c r="B11" s="163" t="s">
        <v>94</v>
      </c>
      <c r="C11" s="163" t="s">
        <v>95</v>
      </c>
      <c r="E11" s="178">
        <v>28</v>
      </c>
      <c r="F11" s="178"/>
      <c r="G11" s="178"/>
      <c r="I11" s="178">
        <v>3</v>
      </c>
      <c r="J11" s="178">
        <v>3</v>
      </c>
      <c r="K11" s="178"/>
      <c r="M11" s="178">
        <f t="shared" si="0"/>
        <v>4.666666666666667</v>
      </c>
    </row>
    <row r="12" spans="1:13" x14ac:dyDescent="0.25">
      <c r="A12" s="173">
        <v>10</v>
      </c>
      <c r="B12" s="174" t="s">
        <v>96</v>
      </c>
      <c r="C12" s="174" t="s">
        <v>97</v>
      </c>
      <c r="E12" s="178">
        <v>12</v>
      </c>
      <c r="F12" s="178"/>
      <c r="G12" s="178"/>
      <c r="I12" s="178">
        <v>2</v>
      </c>
      <c r="J12" s="178">
        <v>3</v>
      </c>
      <c r="K12" s="178"/>
      <c r="M12" s="178">
        <f t="shared" si="0"/>
        <v>2.4</v>
      </c>
    </row>
    <row r="13" spans="1:13" x14ac:dyDescent="0.25">
      <c r="A13" s="167">
        <v>11</v>
      </c>
      <c r="B13" s="163" t="s">
        <v>98</v>
      </c>
      <c r="C13" s="163" t="s">
        <v>99</v>
      </c>
      <c r="E13" s="178">
        <v>47</v>
      </c>
      <c r="F13" s="178"/>
      <c r="G13" s="178"/>
      <c r="I13" s="178">
        <v>5</v>
      </c>
      <c r="J13" s="178">
        <v>4</v>
      </c>
      <c r="K13" s="178"/>
      <c r="M13" s="178">
        <f t="shared" si="0"/>
        <v>5.2222222222222223</v>
      </c>
    </row>
    <row r="14" spans="1:13" x14ac:dyDescent="0.25">
      <c r="A14" s="173">
        <v>12</v>
      </c>
      <c r="B14" s="174" t="s">
        <v>100</v>
      </c>
      <c r="C14" s="174" t="s">
        <v>101</v>
      </c>
      <c r="E14" s="178">
        <v>53</v>
      </c>
      <c r="F14" s="178"/>
      <c r="G14" s="178"/>
      <c r="I14" s="178">
        <v>5</v>
      </c>
      <c r="J14" s="178">
        <v>10</v>
      </c>
      <c r="K14" s="178"/>
      <c r="M14" s="178">
        <f t="shared" si="0"/>
        <v>3.5333333333333332</v>
      </c>
    </row>
    <row r="15" spans="1:13" x14ac:dyDescent="0.25">
      <c r="A15" s="167">
        <v>13</v>
      </c>
      <c r="B15" s="163" t="s">
        <v>102</v>
      </c>
      <c r="C15" s="164" t="s">
        <v>103</v>
      </c>
      <c r="E15" s="178">
        <v>75</v>
      </c>
      <c r="F15" s="178"/>
      <c r="G15" s="178"/>
      <c r="I15" s="178">
        <v>7</v>
      </c>
      <c r="J15" s="178">
        <v>12</v>
      </c>
      <c r="K15" s="178"/>
      <c r="M15" s="178">
        <f t="shared" si="0"/>
        <v>3.9473684210526314</v>
      </c>
    </row>
    <row r="16" spans="1:13" x14ac:dyDescent="0.25">
      <c r="A16" s="173">
        <v>14</v>
      </c>
      <c r="B16" s="174" t="s">
        <v>104</v>
      </c>
      <c r="C16" s="174" t="s">
        <v>105</v>
      </c>
      <c r="E16" s="178">
        <v>56</v>
      </c>
      <c r="F16" s="178"/>
      <c r="G16" s="178"/>
      <c r="I16" s="178">
        <v>5</v>
      </c>
      <c r="J16" s="178">
        <v>7</v>
      </c>
      <c r="K16" s="178"/>
      <c r="M16" s="178">
        <f t="shared" si="0"/>
        <v>4.666666666666667</v>
      </c>
    </row>
    <row r="17" spans="1:13" x14ac:dyDescent="0.25">
      <c r="A17" s="167">
        <v>15</v>
      </c>
      <c r="B17" s="163" t="s">
        <v>106</v>
      </c>
      <c r="C17" s="163" t="s">
        <v>107</v>
      </c>
      <c r="E17" s="178">
        <v>24</v>
      </c>
      <c r="F17" s="178"/>
      <c r="G17" s="178"/>
      <c r="I17" s="178">
        <v>3</v>
      </c>
      <c r="J17" s="178">
        <v>3</v>
      </c>
      <c r="K17" s="178"/>
      <c r="M17" s="178">
        <f t="shared" si="0"/>
        <v>4</v>
      </c>
    </row>
    <row r="18" spans="1:13" x14ac:dyDescent="0.25">
      <c r="A18" s="173">
        <v>16</v>
      </c>
      <c r="B18" s="174" t="s">
        <v>108</v>
      </c>
      <c r="C18" s="174" t="s">
        <v>109</v>
      </c>
      <c r="E18" s="178">
        <v>20</v>
      </c>
      <c r="F18" s="178"/>
      <c r="G18" s="178"/>
      <c r="I18" s="178">
        <v>2</v>
      </c>
      <c r="J18" s="178">
        <v>3</v>
      </c>
      <c r="K18" s="178"/>
      <c r="M18" s="178">
        <f t="shared" si="0"/>
        <v>4</v>
      </c>
    </row>
    <row r="19" spans="1:13" x14ac:dyDescent="0.25">
      <c r="A19" s="167">
        <v>17</v>
      </c>
      <c r="B19" s="163" t="s">
        <v>110</v>
      </c>
      <c r="C19" s="163" t="s">
        <v>111</v>
      </c>
      <c r="E19" s="178">
        <v>21</v>
      </c>
      <c r="F19" s="178"/>
      <c r="G19" s="178"/>
      <c r="I19" s="178">
        <v>2</v>
      </c>
      <c r="J19" s="178">
        <v>1</v>
      </c>
      <c r="K19" s="178"/>
      <c r="M19" s="178">
        <f t="shared" si="0"/>
        <v>7</v>
      </c>
    </row>
    <row r="20" spans="1:13" x14ac:dyDescent="0.25">
      <c r="A20" s="173">
        <v>18</v>
      </c>
      <c r="B20" s="174" t="s">
        <v>112</v>
      </c>
      <c r="C20" s="174" t="s">
        <v>113</v>
      </c>
      <c r="E20" s="178">
        <v>28</v>
      </c>
      <c r="F20" s="178"/>
      <c r="G20" s="178"/>
      <c r="I20" s="178">
        <v>3</v>
      </c>
      <c r="J20" s="178">
        <v>1</v>
      </c>
      <c r="K20" s="178"/>
      <c r="M20" s="178">
        <f t="shared" si="0"/>
        <v>7</v>
      </c>
    </row>
    <row r="21" spans="1:13" x14ac:dyDescent="0.25">
      <c r="A21" s="167">
        <v>19</v>
      </c>
      <c r="B21" s="163" t="s">
        <v>114</v>
      </c>
      <c r="C21" s="163" t="s">
        <v>115</v>
      </c>
      <c r="E21" s="178">
        <v>173</v>
      </c>
      <c r="F21" s="178"/>
      <c r="G21" s="178"/>
      <c r="I21" s="178">
        <v>18</v>
      </c>
      <c r="J21" s="178">
        <v>18</v>
      </c>
      <c r="K21" s="178"/>
      <c r="M21" s="178">
        <f t="shared" si="0"/>
        <v>4.8055555555555554</v>
      </c>
    </row>
    <row r="22" spans="1:13" x14ac:dyDescent="0.25">
      <c r="A22" s="173">
        <v>20</v>
      </c>
      <c r="B22" s="174" t="s">
        <v>116</v>
      </c>
      <c r="C22" s="174" t="s">
        <v>117</v>
      </c>
      <c r="E22" s="178">
        <v>63</v>
      </c>
      <c r="F22" s="178"/>
      <c r="G22" s="178"/>
      <c r="I22" s="178">
        <v>7</v>
      </c>
      <c r="J22" s="178">
        <v>7</v>
      </c>
      <c r="K22" s="178"/>
      <c r="M22" s="178">
        <f t="shared" si="0"/>
        <v>4.5</v>
      </c>
    </row>
    <row r="23" spans="1:13" x14ac:dyDescent="0.25">
      <c r="A23" s="167">
        <v>21</v>
      </c>
      <c r="B23" s="163" t="s">
        <v>118</v>
      </c>
      <c r="C23" s="165" t="s">
        <v>150</v>
      </c>
      <c r="E23" s="178">
        <v>8</v>
      </c>
      <c r="F23" s="178"/>
      <c r="G23" s="178"/>
      <c r="I23" s="178">
        <v>1</v>
      </c>
      <c r="J23" s="178">
        <v>2</v>
      </c>
      <c r="K23" s="178"/>
      <c r="M23" s="178">
        <f t="shared" si="0"/>
        <v>2.6666666666666665</v>
      </c>
    </row>
    <row r="24" spans="1:13" x14ac:dyDescent="0.25">
      <c r="A24" s="173">
        <v>22</v>
      </c>
      <c r="B24" s="174" t="s">
        <v>119</v>
      </c>
      <c r="C24" s="174" t="s">
        <v>120</v>
      </c>
      <c r="E24" s="178">
        <v>15</v>
      </c>
      <c r="F24" s="178"/>
      <c r="G24" s="178"/>
      <c r="I24" s="178">
        <v>2</v>
      </c>
      <c r="J24" s="178">
        <v>2</v>
      </c>
      <c r="K24" s="178"/>
      <c r="M24" s="178">
        <f t="shared" si="0"/>
        <v>3.75</v>
      </c>
    </row>
    <row r="25" spans="1:13" x14ac:dyDescent="0.25">
      <c r="A25" s="167">
        <v>23</v>
      </c>
      <c r="B25" s="163" t="s">
        <v>121</v>
      </c>
      <c r="C25" s="163" t="s">
        <v>122</v>
      </c>
      <c r="E25" s="178">
        <v>118</v>
      </c>
      <c r="F25" s="178"/>
      <c r="G25" s="178"/>
      <c r="I25" s="178">
        <v>12</v>
      </c>
      <c r="J25" s="178">
        <v>4</v>
      </c>
      <c r="K25" s="178"/>
      <c r="M25" s="178">
        <f t="shared" si="0"/>
        <v>7.375</v>
      </c>
    </row>
    <row r="26" spans="1:13" x14ac:dyDescent="0.25">
      <c r="A26" s="167">
        <v>24</v>
      </c>
      <c r="B26" s="163" t="s">
        <v>239</v>
      </c>
      <c r="C26" s="163" t="s">
        <v>240</v>
      </c>
      <c r="E26" s="178">
        <v>7</v>
      </c>
      <c r="F26" s="178"/>
      <c r="G26" s="178"/>
      <c r="I26" s="178">
        <v>1</v>
      </c>
      <c r="J26" s="178">
        <v>1</v>
      </c>
      <c r="K26" s="178"/>
      <c r="M26" s="178">
        <f t="shared" si="0"/>
        <v>3.5</v>
      </c>
    </row>
    <row r="27" spans="1:13" x14ac:dyDescent="0.25">
      <c r="A27" s="173">
        <v>25</v>
      </c>
      <c r="B27" s="174" t="s">
        <v>123</v>
      </c>
      <c r="C27" s="174" t="s">
        <v>124</v>
      </c>
      <c r="E27" s="178">
        <v>42</v>
      </c>
      <c r="F27" s="178"/>
      <c r="G27" s="178"/>
      <c r="I27" s="178">
        <v>4</v>
      </c>
      <c r="J27" s="178">
        <v>4</v>
      </c>
      <c r="K27" s="178"/>
      <c r="M27" s="178">
        <f t="shared" si="0"/>
        <v>5.25</v>
      </c>
    </row>
    <row r="28" spans="1:13" x14ac:dyDescent="0.25">
      <c r="A28" s="167">
        <v>26</v>
      </c>
      <c r="B28" s="163" t="s">
        <v>125</v>
      </c>
      <c r="C28" s="163" t="s">
        <v>126</v>
      </c>
      <c r="E28" s="178">
        <v>33</v>
      </c>
      <c r="F28" s="178"/>
      <c r="G28" s="178"/>
      <c r="I28" s="178">
        <v>3</v>
      </c>
      <c r="J28" s="178">
        <v>3</v>
      </c>
      <c r="K28" s="178"/>
      <c r="M28" s="178">
        <f t="shared" si="0"/>
        <v>5.5</v>
      </c>
    </row>
    <row r="29" spans="1:13" x14ac:dyDescent="0.25">
      <c r="A29" s="173">
        <v>27</v>
      </c>
      <c r="B29" s="174" t="s">
        <v>127</v>
      </c>
      <c r="C29" s="174" t="s">
        <v>127</v>
      </c>
      <c r="E29" s="178">
        <v>94</v>
      </c>
      <c r="F29" s="178"/>
      <c r="G29" s="178"/>
      <c r="I29" s="178">
        <v>10</v>
      </c>
      <c r="J29" s="178">
        <v>6</v>
      </c>
      <c r="K29" s="178"/>
      <c r="M29" s="178">
        <f t="shared" si="0"/>
        <v>5.875</v>
      </c>
    </row>
    <row r="30" spans="1:13" x14ac:dyDescent="0.25">
      <c r="A30" s="167">
        <v>28</v>
      </c>
      <c r="B30" s="163" t="s">
        <v>128</v>
      </c>
      <c r="C30" s="163" t="s">
        <v>129</v>
      </c>
      <c r="E30" s="178">
        <v>38</v>
      </c>
      <c r="F30" s="178"/>
      <c r="G30" s="178"/>
      <c r="I30" s="178">
        <v>4</v>
      </c>
      <c r="J30" s="178">
        <v>0</v>
      </c>
      <c r="K30" s="178"/>
      <c r="M30" s="178">
        <f t="shared" si="0"/>
        <v>9.5</v>
      </c>
    </row>
    <row r="31" spans="1:13" x14ac:dyDescent="0.25">
      <c r="A31" s="176">
        <v>29</v>
      </c>
      <c r="B31" s="177" t="s">
        <v>130</v>
      </c>
      <c r="C31" s="177" t="s">
        <v>131</v>
      </c>
      <c r="E31" s="178">
        <v>76</v>
      </c>
      <c r="F31" s="178"/>
      <c r="G31" s="178"/>
      <c r="I31" s="178">
        <v>8</v>
      </c>
      <c r="J31" s="178">
        <v>5</v>
      </c>
      <c r="K31" s="178"/>
      <c r="M31" s="178">
        <f>SUM($E31:$G31)/SUM(I31:K31)</f>
        <v>5.8461538461538458</v>
      </c>
    </row>
    <row r="32" spans="1:13" x14ac:dyDescent="0.25">
      <c r="A32" s="181">
        <v>30</v>
      </c>
      <c r="B32" s="178" t="s">
        <v>318</v>
      </c>
      <c r="C32" s="217" t="s">
        <v>242</v>
      </c>
      <c r="E32" s="178">
        <v>20</v>
      </c>
      <c r="F32" s="178"/>
      <c r="G32" s="178"/>
      <c r="I32" s="178">
        <v>2</v>
      </c>
      <c r="J32" s="178">
        <v>9</v>
      </c>
      <c r="K32" s="178"/>
      <c r="M32" s="178">
        <f t="shared" si="0"/>
        <v>1.8181818181818181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10" sqref="F10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5/6</v>
      </c>
      <c r="C2" s="65"/>
      <c r="D2" s="66">
        <f>Scholen!D3</f>
        <v>46120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277</v>
      </c>
      <c r="E6" s="70"/>
      <c r="F6" s="104" t="s">
        <v>275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365</v>
      </c>
      <c r="E7" s="70"/>
      <c r="F7" s="104" t="s">
        <v>276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132</v>
      </c>
      <c r="F8" s="104" t="s">
        <v>366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62" t="s">
        <v>151</v>
      </c>
      <c r="F9" s="106" t="s">
        <v>383</v>
      </c>
      <c r="G9" s="71"/>
    </row>
    <row r="10" spans="2:8" x14ac:dyDescent="0.25">
      <c r="B10" s="69">
        <v>5</v>
      </c>
      <c r="C10" s="3" t="str">
        <f>IF(Scholen!J8&lt;&gt;"",Scholen!J8,"")</f>
        <v>Gemengd</v>
      </c>
      <c r="D10" s="62" t="s">
        <v>152</v>
      </c>
      <c r="F10" s="104" t="s">
        <v>134</v>
      </c>
      <c r="G10" s="71"/>
    </row>
    <row r="11" spans="2:8" x14ac:dyDescent="0.25">
      <c r="B11" s="69">
        <v>6</v>
      </c>
      <c r="C11" s="3" t="str">
        <f>IF(Scholen!L8&lt;&gt;"",Scholen!L8,"")</f>
        <v>Gemengd</v>
      </c>
      <c r="D11" s="104" t="s">
        <v>368</v>
      </c>
      <c r="F11" s="104" t="s">
        <v>64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154</v>
      </c>
      <c r="F12" s="104" t="s">
        <v>367</v>
      </c>
      <c r="G12" s="71"/>
    </row>
    <row r="13" spans="2:8" x14ac:dyDescent="0.25">
      <c r="B13" s="69">
        <v>8</v>
      </c>
      <c r="C13" s="3" t="str">
        <f>IF(Scholen!P8&lt;&gt;"",Scholen!P8,"")</f>
        <v>Jongens</v>
      </c>
      <c r="D13" s="104" t="s">
        <v>273</v>
      </c>
      <c r="F13" s="104" t="s">
        <v>272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153</v>
      </c>
      <c r="F14" s="104" t="s">
        <v>369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281</v>
      </c>
      <c r="F15" s="104" t="s">
        <v>133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370</v>
      </c>
      <c r="F16" s="104" t="s">
        <v>371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274</v>
      </c>
      <c r="F17" s="104" t="s">
        <v>372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199</v>
      </c>
      <c r="F18" s="104" t="s">
        <v>378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271</v>
      </c>
      <c r="F19" s="104" t="s">
        <v>280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282</v>
      </c>
      <c r="F20" s="104" t="s">
        <v>373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374</v>
      </c>
      <c r="F21" s="104" t="s">
        <v>278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375</v>
      </c>
      <c r="F22" s="104" t="s">
        <v>376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377</v>
      </c>
      <c r="F23" s="62" t="s">
        <v>279</v>
      </c>
      <c r="G23" s="70"/>
    </row>
    <row r="24" spans="2:7" x14ac:dyDescent="0.25">
      <c r="B24" s="69">
        <v>19</v>
      </c>
      <c r="C24" s="3" t="str">
        <f>IF(Scholen!B36&lt;&gt;"",Scholen!B36,"")</f>
        <v/>
      </c>
      <c r="D24" s="104"/>
      <c r="F24" s="104"/>
    </row>
    <row r="25" spans="2:7" x14ac:dyDescent="0.25">
      <c r="B25" s="69">
        <v>20</v>
      </c>
      <c r="C25" s="3" t="str">
        <f>IF(Scholen!D36&lt;&gt;"",Scholen!D36,"")</f>
        <v/>
      </c>
      <c r="D25" s="104"/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zoomScaleNormal="100" workbookViewId="0">
      <selection activeCell="J11" sqref="J1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Scholen!$B$8</f>
        <v>Meisjes</v>
      </c>
      <c r="F8" s="130"/>
      <c r="G8" s="130"/>
      <c r="H8" s="131" t="s">
        <v>21</v>
      </c>
      <c r="I8" s="132" t="s">
        <v>22</v>
      </c>
      <c r="J8" s="130" t="s">
        <v>25</v>
      </c>
      <c r="K8" s="246">
        <f>Scholen!$C$7</f>
        <v>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M1</v>
      </c>
      <c r="F11" s="134"/>
      <c r="G11" s="135" t="s">
        <v>11</v>
      </c>
      <c r="H11" s="134" t="str">
        <f>$A$42</f>
        <v>Gabriël M1</v>
      </c>
      <c r="I11" s="17"/>
      <c r="J11" s="16">
        <v>0</v>
      </c>
      <c r="K11" s="158" t="s">
        <v>11</v>
      </c>
      <c r="L11" s="18">
        <v>0</v>
      </c>
      <c r="M11" s="19" t="str">
        <f>Scheids!$D$6</f>
        <v xml:space="preserve">Theo Dessens 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Talent M1</v>
      </c>
      <c r="F12" s="25"/>
      <c r="G12" s="23" t="s">
        <v>11</v>
      </c>
      <c r="H12" s="25" t="str">
        <f>$A$44</f>
        <v>Maan M1</v>
      </c>
      <c r="I12" s="26"/>
      <c r="J12" s="22">
        <v>0</v>
      </c>
      <c r="K12" s="27" t="s">
        <v>11</v>
      </c>
      <c r="L12" s="28">
        <v>0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M2</v>
      </c>
      <c r="F13" s="25"/>
      <c r="G13" s="23" t="s">
        <v>11</v>
      </c>
      <c r="H13" s="25" t="str">
        <f>$A$46</f>
        <v>Freinet M1</v>
      </c>
      <c r="I13" s="26"/>
      <c r="J13" s="22">
        <v>0</v>
      </c>
      <c r="K13" s="27" t="s">
        <v>11</v>
      </c>
      <c r="L13" s="28">
        <v>1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211" t="str">
        <f>$A$47</f>
        <v>Widar M1</v>
      </c>
      <c r="F14" s="25"/>
      <c r="G14" s="23" t="s">
        <v>11</v>
      </c>
      <c r="H14" s="25" t="str">
        <f>$A$48</f>
        <v>Galjoen M1</v>
      </c>
      <c r="I14" s="26"/>
      <c r="J14" s="22">
        <v>0</v>
      </c>
      <c r="K14" s="27" t="s">
        <v>11</v>
      </c>
      <c r="L14" s="28">
        <v>0</v>
      </c>
      <c r="M14" s="29" t="str">
        <f>Scheids!$F$6</f>
        <v>Peter Lips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Talent M1</v>
      </c>
      <c r="I15" s="26"/>
      <c r="J15" s="22">
        <v>0</v>
      </c>
      <c r="K15" s="27" t="s">
        <v>11</v>
      </c>
      <c r="L15" s="28">
        <v>1</v>
      </c>
      <c r="M15" s="29" t="str">
        <f>Scheids!$F$6</f>
        <v>Peter Lips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M1</v>
      </c>
      <c r="F16" s="25"/>
      <c r="G16" s="23" t="s">
        <v>11</v>
      </c>
      <c r="H16" s="25" t="str">
        <f>$A$45</f>
        <v>Maria M2</v>
      </c>
      <c r="I16" s="26"/>
      <c r="J16" s="22">
        <v>1</v>
      </c>
      <c r="K16" s="27" t="s">
        <v>11</v>
      </c>
      <c r="L16" s="28">
        <v>0</v>
      </c>
      <c r="M16" s="29" t="str">
        <f>Scheids!$F$6</f>
        <v>Peter Lips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M1</v>
      </c>
      <c r="F17" s="25"/>
      <c r="G17" s="23" t="s">
        <v>11</v>
      </c>
      <c r="H17" s="25" t="str">
        <f>$A$47</f>
        <v>Widar M1</v>
      </c>
      <c r="I17" s="26"/>
      <c r="J17" s="22"/>
      <c r="K17" s="27" t="s">
        <v>11</v>
      </c>
      <c r="L17" s="28"/>
      <c r="M17" s="29" t="str">
        <f>Scheids!$D$6</f>
        <v xml:space="preserve">Theo Dessens 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Galjoen M1</v>
      </c>
      <c r="F18" s="25"/>
      <c r="G18" s="23" t="s">
        <v>11</v>
      </c>
      <c r="H18" s="25" t="str">
        <f>$A$41</f>
        <v>Maria M1</v>
      </c>
      <c r="I18" s="26"/>
      <c r="J18" s="22"/>
      <c r="K18" s="27" t="s">
        <v>11</v>
      </c>
      <c r="L18" s="28"/>
      <c r="M18" s="29" t="str">
        <f>Scheids!$D$6</f>
        <v xml:space="preserve">Theo Dessens 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M1</v>
      </c>
      <c r="F19" s="25"/>
      <c r="G19" s="23" t="s">
        <v>11</v>
      </c>
      <c r="H19" s="25" t="str">
        <f>$A$42</f>
        <v>Gabriël M1</v>
      </c>
      <c r="I19" s="26"/>
      <c r="J19" s="22"/>
      <c r="K19" s="27" t="s">
        <v>11</v>
      </c>
      <c r="L19" s="28"/>
      <c r="M19" s="29" t="str">
        <f>Scheids!$D$6</f>
        <v xml:space="preserve">Theo Dessens 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Talent M1</v>
      </c>
      <c r="F20" s="25"/>
      <c r="G20" s="23" t="s">
        <v>11</v>
      </c>
      <c r="H20" s="25" t="str">
        <f>$A$45</f>
        <v>Maria M2</v>
      </c>
      <c r="I20" s="26"/>
      <c r="J20" s="22"/>
      <c r="K20" s="27" t="s">
        <v>11</v>
      </c>
      <c r="L20" s="28"/>
      <c r="M20" s="29" t="str">
        <f>Scheids!$F$6</f>
        <v>Peter Lips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M1</v>
      </c>
      <c r="F21" s="25"/>
      <c r="G21" s="23" t="s">
        <v>11</v>
      </c>
      <c r="H21" s="25" t="str">
        <f>$A$47</f>
        <v>Widar M1</v>
      </c>
      <c r="I21" s="26"/>
      <c r="J21" s="22"/>
      <c r="K21" s="27" t="s">
        <v>11</v>
      </c>
      <c r="L21" s="28"/>
      <c r="M21" s="29" t="str">
        <f>Scheids!$F$6</f>
        <v>Peter Lips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Freinet M1</v>
      </c>
      <c r="F22" s="25"/>
      <c r="G22" s="23" t="s">
        <v>11</v>
      </c>
      <c r="H22" s="25" t="str">
        <f>$A$48</f>
        <v>Galjoen M1</v>
      </c>
      <c r="I22" s="26"/>
      <c r="J22" s="22"/>
      <c r="K22" s="27" t="s">
        <v>11</v>
      </c>
      <c r="L22" s="28"/>
      <c r="M22" s="29" t="str">
        <f>Scheids!$F$6</f>
        <v>Peter Lips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M1</v>
      </c>
      <c r="F23" s="25"/>
      <c r="G23" s="23" t="s">
        <v>11</v>
      </c>
      <c r="H23" s="25" t="str">
        <f>$A$43</f>
        <v>Talent M1</v>
      </c>
      <c r="I23" s="26"/>
      <c r="J23" s="22"/>
      <c r="K23" s="27" t="s">
        <v>11</v>
      </c>
      <c r="L23" s="28"/>
      <c r="M23" s="29" t="str">
        <f>Scheids!$D$6</f>
        <v xml:space="preserve">Theo Dessens 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M1</v>
      </c>
      <c r="F24" s="25"/>
      <c r="G24" s="23" t="s">
        <v>11</v>
      </c>
      <c r="H24" s="25" t="str">
        <f>$A$44</f>
        <v>Maan M1</v>
      </c>
      <c r="I24" s="26"/>
      <c r="J24" s="22"/>
      <c r="K24" s="27" t="s">
        <v>11</v>
      </c>
      <c r="L24" s="28"/>
      <c r="M24" s="29" t="str">
        <f>Scheids!$D$6</f>
        <v xml:space="preserve">Theo Dessens 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Widar M1</v>
      </c>
      <c r="I25" s="26"/>
      <c r="J25" s="22"/>
      <c r="K25" s="27" t="s">
        <v>11</v>
      </c>
      <c r="L25" s="28"/>
      <c r="M25" s="29" t="str">
        <f>Scheids!$D$6</f>
        <v xml:space="preserve">Theo Dessens 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Maria M2</v>
      </c>
      <c r="F26" s="25"/>
      <c r="G26" s="23" t="s">
        <v>11</v>
      </c>
      <c r="H26" s="25" t="str">
        <f>$A$48</f>
        <v>Galjoen M1</v>
      </c>
      <c r="I26" s="26"/>
      <c r="J26" s="22"/>
      <c r="K26" s="27" t="s">
        <v>11</v>
      </c>
      <c r="L26" s="28"/>
      <c r="M26" s="29" t="str">
        <f>Scheids!$F$6</f>
        <v>Peter Lips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Talent M1</v>
      </c>
      <c r="F27" s="25"/>
      <c r="G27" s="23" t="s">
        <v>11</v>
      </c>
      <c r="H27" s="25" t="str">
        <f>$A$46</f>
        <v>Freinet M1</v>
      </c>
      <c r="I27" s="26"/>
      <c r="J27" s="22"/>
      <c r="K27" s="27" t="s">
        <v>11</v>
      </c>
      <c r="L27" s="28"/>
      <c r="M27" s="29" t="str">
        <f>Scheids!$F$6</f>
        <v>Peter Lips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Gabriël M1</v>
      </c>
      <c r="F28" s="25"/>
      <c r="G28" s="23" t="s">
        <v>11</v>
      </c>
      <c r="H28" s="25" t="str">
        <f>$A$48</f>
        <v>Galjoen M1</v>
      </c>
      <c r="I28" s="26"/>
      <c r="J28" s="22"/>
      <c r="K28" s="27" t="s">
        <v>11</v>
      </c>
      <c r="L28" s="28"/>
      <c r="M28" s="29" t="str">
        <f>Scheids!$F$6</f>
        <v>Peter Lips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M1</v>
      </c>
      <c r="F29" s="25"/>
      <c r="G29" s="23" t="s">
        <v>11</v>
      </c>
      <c r="H29" s="25" t="str">
        <f>$A$41</f>
        <v>Maria M1</v>
      </c>
      <c r="I29" s="26"/>
      <c r="J29" s="22"/>
      <c r="K29" s="27" t="s">
        <v>11</v>
      </c>
      <c r="L29" s="28"/>
      <c r="M29" s="29" t="str">
        <f>Scheids!$D$6</f>
        <v xml:space="preserve">Theo Dessens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M1</v>
      </c>
      <c r="F30" s="25"/>
      <c r="G30" s="23" t="s">
        <v>11</v>
      </c>
      <c r="H30" s="25" t="str">
        <f>$A$45</f>
        <v>Maria M2</v>
      </c>
      <c r="I30" s="26"/>
      <c r="J30" s="22"/>
      <c r="K30" s="27" t="s">
        <v>11</v>
      </c>
      <c r="L30" s="28"/>
      <c r="M30" s="29" t="str">
        <f>Scheids!$D$6</f>
        <v xml:space="preserve">Theo Dessens 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Galjoen M1</v>
      </c>
      <c r="F31" s="25"/>
      <c r="G31" s="23" t="s">
        <v>11</v>
      </c>
      <c r="H31" s="25" t="str">
        <f>$A$44</f>
        <v>Maan M1</v>
      </c>
      <c r="I31" s="26"/>
      <c r="J31" s="22"/>
      <c r="K31" s="27" t="s">
        <v>11</v>
      </c>
      <c r="L31" s="28"/>
      <c r="M31" s="29" t="str">
        <f>Scheids!$D$6</f>
        <v xml:space="preserve">Theo Dessens 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Talent M1</v>
      </c>
      <c r="F32" s="25"/>
      <c r="G32" s="23" t="s">
        <v>11</v>
      </c>
      <c r="H32" s="25" t="str">
        <f>$A$47</f>
        <v>Widar M1</v>
      </c>
      <c r="I32" s="26"/>
      <c r="J32" s="22"/>
      <c r="K32" s="27" t="s">
        <v>11</v>
      </c>
      <c r="L32" s="28"/>
      <c r="M32" s="29" t="str">
        <f>Scheids!$F$6</f>
        <v>Peter Lips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Freinet M1</v>
      </c>
      <c r="I33" s="26"/>
      <c r="J33" s="22"/>
      <c r="K33" s="27" t="s">
        <v>11</v>
      </c>
      <c r="L33" s="28"/>
      <c r="M33" s="29" t="str">
        <f>Scheids!$F$6</f>
        <v>Peter Lips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M1</v>
      </c>
      <c r="F34" s="25"/>
      <c r="G34" s="23" t="s">
        <v>11</v>
      </c>
      <c r="H34" s="25" t="str">
        <f>$A$45</f>
        <v>Maria M2</v>
      </c>
      <c r="I34" s="26"/>
      <c r="J34" s="22"/>
      <c r="K34" s="27" t="s">
        <v>11</v>
      </c>
      <c r="L34" s="28"/>
      <c r="M34" s="29" t="str">
        <f>Scheids!$F$6</f>
        <v>Peter Lips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Galjoen M1</v>
      </c>
      <c r="F35" s="25"/>
      <c r="G35" s="23" t="s">
        <v>11</v>
      </c>
      <c r="H35" s="25" t="str">
        <f>$A$43</f>
        <v>Talent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M1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Scheids!$F$6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M1</v>
      </c>
      <c r="F38" s="36"/>
      <c r="G38" s="34" t="s">
        <v>11</v>
      </c>
      <c r="H38" s="36" t="str">
        <f>$A$44</f>
        <v>Maan M1</v>
      </c>
      <c r="I38" s="37"/>
      <c r="J38" s="33"/>
      <c r="K38" s="38" t="s">
        <v>11</v>
      </c>
      <c r="L38" s="39"/>
      <c r="M38" s="120" t="str">
        <f>Scheids!$F$6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Scholen!$B$10</f>
        <v>Maria M1</v>
      </c>
      <c r="B41" s="146"/>
      <c r="C41" s="146"/>
      <c r="D41" s="147"/>
      <c r="E41" s="148">
        <f>IF(AND($J$11&lt;&gt;"", $L$11&lt;&gt;""),IF($J$11&gt;$L$11,3,IF($J$11=$L$11,1,0)),"")</f>
        <v>1</v>
      </c>
      <c r="F41" s="148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1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Scholen!$B$11</f>
        <v>Gabriël M1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1</v>
      </c>
      <c r="W42" s="85">
        <f>R11+Q15+R19+Q25+Q28+Q33+R37</f>
        <v>2</v>
      </c>
      <c r="X42" s="93">
        <f t="shared" si="1"/>
        <v>4</v>
      </c>
    </row>
    <row r="43" spans="1:24" ht="18.75" customHeight="1" x14ac:dyDescent="0.3">
      <c r="A43" s="145" t="str">
        <f>Scholen!$B$12</f>
        <v>Talent M1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2</v>
      </c>
      <c r="R43" s="85">
        <f t="shared" si="2"/>
        <v>1</v>
      </c>
      <c r="S43" s="85">
        <f t="shared" si="3"/>
        <v>0</v>
      </c>
      <c r="T43" s="85">
        <f t="shared" si="4"/>
        <v>1</v>
      </c>
      <c r="U43" s="85">
        <f>J12+L15+J20+L23+J27+J32+L35</f>
        <v>1</v>
      </c>
      <c r="V43" s="85">
        <f>L12+J15+L20+J23+L27+L32+J35</f>
        <v>0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Scholen!$B$13</f>
        <v>Maan M1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2</v>
      </c>
      <c r="R44" s="85">
        <f t="shared" si="2"/>
        <v>1</v>
      </c>
      <c r="S44" s="85">
        <f t="shared" si="3"/>
        <v>0</v>
      </c>
      <c r="T44" s="85">
        <f t="shared" si="4"/>
        <v>1</v>
      </c>
      <c r="U44" s="85">
        <f>L12+J16+J19+L24+J29+L31+L38</f>
        <v>1</v>
      </c>
      <c r="V44" s="85">
        <f>J12+L16+L19+J24+L29+J31+J38</f>
        <v>0</v>
      </c>
      <c r="W44" s="85">
        <f>R12+Q16+Q19+R24+Q29+R31+R38</f>
        <v>2</v>
      </c>
      <c r="X44" s="93">
        <f t="shared" si="1"/>
        <v>1</v>
      </c>
    </row>
    <row r="45" spans="1:24" ht="18.75" customHeight="1" x14ac:dyDescent="0.3">
      <c r="A45" s="145" t="str">
        <f>Scholen!$B$14</f>
        <v>Maria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2</v>
      </c>
      <c r="R45" s="85">
        <f t="shared" si="2"/>
        <v>0</v>
      </c>
      <c r="S45" s="85">
        <f t="shared" si="3"/>
        <v>2</v>
      </c>
      <c r="T45" s="85">
        <f t="shared" si="4"/>
        <v>0</v>
      </c>
      <c r="U45" s="85">
        <f>J13+L16+L20+J26+L30+L34+J37</f>
        <v>0</v>
      </c>
      <c r="V45" s="85">
        <f>L13+J16+J20+L26+J30+J34+L37</f>
        <v>2</v>
      </c>
      <c r="W45" s="85">
        <f>Q13+R16+R20+Q26+R30+R34+Q37</f>
        <v>2</v>
      </c>
      <c r="X45" s="93">
        <f t="shared" si="1"/>
        <v>8</v>
      </c>
    </row>
    <row r="46" spans="1:24" ht="18.75" customHeight="1" x14ac:dyDescent="0.3">
      <c r="A46" s="145" t="str">
        <f>Scholen!$B$15</f>
        <v>Freinet M1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1</v>
      </c>
      <c r="X46" s="93">
        <f t="shared" si="1"/>
        <v>3</v>
      </c>
    </row>
    <row r="47" spans="1:24" ht="18.75" customHeight="1" x14ac:dyDescent="0.3">
      <c r="A47" s="145" t="str">
        <f>IF(Scholen!$B$16&lt;&gt;"",Scholen!$B$16,"")</f>
        <v>Widar M1</v>
      </c>
      <c r="B47" s="146"/>
      <c r="C47" s="146"/>
      <c r="D47" s="147"/>
      <c r="E47" s="148">
        <f>IF(AND($J$14&lt;&gt;"",$L$14&lt;&gt;""),IF($J$14&gt;$L$14,3,IF($J$14=$L$14,1,0)),"")</f>
        <v>1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1</v>
      </c>
      <c r="R47" s="85">
        <f t="shared" si="2"/>
        <v>0</v>
      </c>
      <c r="S47" s="85">
        <f t="shared" si="3"/>
        <v>0</v>
      </c>
      <c r="T47" s="85">
        <f t="shared" si="4"/>
        <v>1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1</v>
      </c>
      <c r="X47" s="93">
        <f t="shared" si="1"/>
        <v>4</v>
      </c>
    </row>
    <row r="48" spans="1:24" ht="18.75" customHeight="1" x14ac:dyDescent="0.3">
      <c r="A48" s="145" t="str">
        <f>IF(Scholen!$B$17&lt;&gt;"",Scholen!$B$17,"")</f>
        <v>Galjoen M1</v>
      </c>
      <c r="B48" s="146"/>
      <c r="C48" s="146"/>
      <c r="D48" s="147"/>
      <c r="E48" s="156">
        <f>IF(AND($J$14&lt;&gt;"",$L$14&lt;&gt;""),IF($J$14&lt;$L$14,3,IF($J$14=$L$14,1,0)),"")</f>
        <v>1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1</v>
      </c>
      <c r="R48" s="85">
        <f t="shared" si="2"/>
        <v>0</v>
      </c>
      <c r="S48" s="85">
        <f t="shared" si="3"/>
        <v>0</v>
      </c>
      <c r="T48" s="85">
        <f t="shared" si="4"/>
        <v>1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1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Scholen!$D$8</f>
        <v>Meisjes</v>
      </c>
      <c r="F8" s="130"/>
      <c r="G8" s="130"/>
      <c r="H8" s="131" t="s">
        <v>21</v>
      </c>
      <c r="I8" s="132" t="s">
        <v>24</v>
      </c>
      <c r="J8" s="130" t="s">
        <v>25</v>
      </c>
      <c r="K8" s="246">
        <f>Scholen!$E$7</f>
        <v>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Galjoen M2</v>
      </c>
      <c r="F11" s="134"/>
      <c r="G11" s="135" t="s">
        <v>11</v>
      </c>
      <c r="H11" s="134" t="str">
        <f>$A$42</f>
        <v>Maria M3</v>
      </c>
      <c r="I11" s="17"/>
      <c r="J11" s="16">
        <v>0</v>
      </c>
      <c r="K11" s="158" t="s">
        <v>11</v>
      </c>
      <c r="L11" s="18">
        <v>0</v>
      </c>
      <c r="M11" s="19" t="str">
        <f>Scheids!$D$7</f>
        <v>Chris van Noordwijk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M2</v>
      </c>
      <c r="F12" s="25"/>
      <c r="G12" s="23" t="s">
        <v>11</v>
      </c>
      <c r="H12" s="25" t="str">
        <f>$A$44</f>
        <v>Talent M2</v>
      </c>
      <c r="I12" s="26"/>
      <c r="J12" s="22">
        <v>0</v>
      </c>
      <c r="K12" s="27" t="s">
        <v>11</v>
      </c>
      <c r="L12" s="28">
        <v>1</v>
      </c>
      <c r="M12" s="29" t="str">
        <f>Scheids!$D$7</f>
        <v>Chris van Noordwijk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M2</v>
      </c>
      <c r="F13" s="25"/>
      <c r="G13" s="23" t="s">
        <v>11</v>
      </c>
      <c r="H13" s="25" t="str">
        <f>$A$46</f>
        <v>Max M1</v>
      </c>
      <c r="I13" s="26"/>
      <c r="J13" s="22">
        <v>0</v>
      </c>
      <c r="K13" s="27" t="s">
        <v>11</v>
      </c>
      <c r="L13" s="28">
        <v>1</v>
      </c>
      <c r="M13" s="29" t="str">
        <f>Scheids!$D$7</f>
        <v>Chris van Noordwijk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M2</v>
      </c>
      <c r="F14" s="25"/>
      <c r="G14" s="23"/>
      <c r="H14" s="25" t="str">
        <f>$A$48</f>
        <v>Widar M2</v>
      </c>
      <c r="I14" s="26"/>
      <c r="J14" s="22">
        <v>0</v>
      </c>
      <c r="K14" s="27" t="s">
        <v>11</v>
      </c>
      <c r="L14" s="28">
        <v>0</v>
      </c>
      <c r="M14" s="29" t="str">
        <f>Scheids!$F$7</f>
        <v xml:space="preserve">Anita Schouten 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Gabriël M2</v>
      </c>
      <c r="I15" s="26"/>
      <c r="J15" s="22">
        <v>1</v>
      </c>
      <c r="K15" s="27" t="s">
        <v>11</v>
      </c>
      <c r="L15" s="28">
        <v>0</v>
      </c>
      <c r="M15" s="29" t="str">
        <f>Scheids!$F$7</f>
        <v xml:space="preserve">Anita Schouten 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M2</v>
      </c>
      <c r="F16" s="25"/>
      <c r="G16" s="23" t="s">
        <v>11</v>
      </c>
      <c r="H16" s="25" t="str">
        <f>$A$45</f>
        <v>Maan M2</v>
      </c>
      <c r="I16" s="26"/>
      <c r="J16" s="22">
        <v>2</v>
      </c>
      <c r="K16" s="27" t="s">
        <v>11</v>
      </c>
      <c r="L16" s="28">
        <v>0</v>
      </c>
      <c r="M16" s="29" t="str">
        <f>Scheids!$F$7</f>
        <v xml:space="preserve">Anita Schouten 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M1</v>
      </c>
      <c r="F17" s="25"/>
      <c r="G17" s="23" t="s">
        <v>11</v>
      </c>
      <c r="H17" s="25" t="str">
        <f>$A$47</f>
        <v>Freinet M2</v>
      </c>
      <c r="I17" s="26"/>
      <c r="J17" s="22"/>
      <c r="K17" s="27" t="s">
        <v>11</v>
      </c>
      <c r="L17" s="28"/>
      <c r="M17" s="29" t="str">
        <f>Scheids!$D$7</f>
        <v>Chris van Noordwijk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M2</v>
      </c>
      <c r="F18" s="25"/>
      <c r="G18" s="23"/>
      <c r="H18" s="25" t="str">
        <f>$A$41</f>
        <v>Galjoen M2</v>
      </c>
      <c r="I18" s="26"/>
      <c r="J18" s="22"/>
      <c r="K18" s="27" t="s">
        <v>11</v>
      </c>
      <c r="L18" s="28"/>
      <c r="M18" s="29" t="str">
        <f>Scheids!$D$7</f>
        <v>Chris van Noordwijk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M2</v>
      </c>
      <c r="F19" s="25"/>
      <c r="G19" s="23" t="s">
        <v>11</v>
      </c>
      <c r="H19" s="25" t="str">
        <f>$A$42</f>
        <v>Maria M3</v>
      </c>
      <c r="I19" s="26"/>
      <c r="J19" s="22"/>
      <c r="K19" s="27" t="s">
        <v>11</v>
      </c>
      <c r="L19" s="28"/>
      <c r="M19" s="29" t="str">
        <f>Scheids!$D$7</f>
        <v>Chris van Noordwijk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M2</v>
      </c>
      <c r="F20" s="25"/>
      <c r="G20" s="23" t="s">
        <v>11</v>
      </c>
      <c r="H20" s="25" t="str">
        <f>$A$45</f>
        <v>Maan M2</v>
      </c>
      <c r="I20" s="26"/>
      <c r="J20" s="22"/>
      <c r="K20" s="27" t="s">
        <v>11</v>
      </c>
      <c r="L20" s="28"/>
      <c r="M20" s="29" t="str">
        <f>Scheids!$F$7</f>
        <v xml:space="preserve">Anita Schouten 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Galjoen M2</v>
      </c>
      <c r="F21" s="25"/>
      <c r="G21" s="23" t="s">
        <v>11</v>
      </c>
      <c r="H21" s="25" t="str">
        <f>$A$47</f>
        <v>Freinet M2</v>
      </c>
      <c r="I21" s="26"/>
      <c r="J21" s="22"/>
      <c r="K21" s="27" t="s">
        <v>11</v>
      </c>
      <c r="L21" s="28"/>
      <c r="M21" s="29" t="str">
        <f>Scheids!$F$7</f>
        <v xml:space="preserve">Anita Schouten 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M1</v>
      </c>
      <c r="F22" s="25"/>
      <c r="G22" s="23"/>
      <c r="H22" s="25" t="str">
        <f>$A$48</f>
        <v>Widar M2</v>
      </c>
      <c r="I22" s="26"/>
      <c r="J22" s="22"/>
      <c r="K22" s="27" t="s">
        <v>11</v>
      </c>
      <c r="L22" s="28"/>
      <c r="M22" s="29" t="str">
        <f>Scheids!$F$7</f>
        <v xml:space="preserve">Anita Schouten 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Galjoen M2</v>
      </c>
      <c r="F23" s="25"/>
      <c r="G23" s="23" t="s">
        <v>11</v>
      </c>
      <c r="H23" s="25" t="str">
        <f>$A$43</f>
        <v>Gabriël M2</v>
      </c>
      <c r="I23" s="26"/>
      <c r="J23" s="22"/>
      <c r="K23" s="27" t="s">
        <v>11</v>
      </c>
      <c r="L23" s="28"/>
      <c r="M23" s="29" t="str">
        <f>Scheids!$D$7</f>
        <v>Chris van Noordwijk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M1</v>
      </c>
      <c r="F24" s="25"/>
      <c r="G24" s="23" t="s">
        <v>11</v>
      </c>
      <c r="H24" s="25" t="str">
        <f>$A$44</f>
        <v>Talent M2</v>
      </c>
      <c r="I24" s="26"/>
      <c r="J24" s="22"/>
      <c r="K24" s="27" t="s">
        <v>11</v>
      </c>
      <c r="L24" s="28"/>
      <c r="M24" s="29" t="str">
        <f>Scheids!$D$7</f>
        <v>Chris van Noordwijk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Freinet M2</v>
      </c>
      <c r="I25" s="26"/>
      <c r="J25" s="22"/>
      <c r="K25" s="27" t="s">
        <v>11</v>
      </c>
      <c r="L25" s="28"/>
      <c r="M25" s="29" t="str">
        <f>Scheids!$D$7</f>
        <v>Chris van Noordwijk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M2</v>
      </c>
      <c r="F26" s="25"/>
      <c r="G26" s="23"/>
      <c r="H26" s="25" t="str">
        <f>$A$48</f>
        <v>Widar M2</v>
      </c>
      <c r="I26" s="26"/>
      <c r="J26" s="22"/>
      <c r="K26" s="27" t="s">
        <v>11</v>
      </c>
      <c r="L26" s="28"/>
      <c r="M26" s="29" t="str">
        <f>Scheids!$F$7</f>
        <v xml:space="preserve">Anita Schouten 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M2</v>
      </c>
      <c r="F27" s="25"/>
      <c r="G27" s="23" t="s">
        <v>11</v>
      </c>
      <c r="H27" s="25" t="str">
        <f>$A$46</f>
        <v>Max M1</v>
      </c>
      <c r="I27" s="26"/>
      <c r="J27" s="22"/>
      <c r="K27" s="27" t="s">
        <v>11</v>
      </c>
      <c r="L27" s="28"/>
      <c r="M27" s="29" t="str">
        <f>Scheids!$F$7</f>
        <v xml:space="preserve">Anita Schouten 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M3</v>
      </c>
      <c r="F28" s="25"/>
      <c r="G28" s="23"/>
      <c r="H28" s="25" t="str">
        <f>$A$48</f>
        <v>Widar M2</v>
      </c>
      <c r="I28" s="26"/>
      <c r="J28" s="22"/>
      <c r="K28" s="27" t="s">
        <v>11</v>
      </c>
      <c r="L28" s="28"/>
      <c r="M28" s="29" t="str">
        <f>Scheids!$F$7</f>
        <v xml:space="preserve">Anita Schouten 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M2</v>
      </c>
      <c r="F29" s="25"/>
      <c r="G29" s="23" t="s">
        <v>11</v>
      </c>
      <c r="H29" s="25" t="str">
        <f>$A$41</f>
        <v>Galjoen M2</v>
      </c>
      <c r="I29" s="26"/>
      <c r="J29" s="22"/>
      <c r="K29" s="27" t="s">
        <v>11</v>
      </c>
      <c r="L29" s="28"/>
      <c r="M29" s="29" t="str">
        <f>Scheids!$D$7</f>
        <v>Chris van Noordwijk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M2</v>
      </c>
      <c r="F30" s="25"/>
      <c r="G30" s="23" t="s">
        <v>11</v>
      </c>
      <c r="H30" s="25" t="str">
        <f>$A$45</f>
        <v>Maan M2</v>
      </c>
      <c r="I30" s="26"/>
      <c r="J30" s="22"/>
      <c r="K30" s="27" t="s">
        <v>11</v>
      </c>
      <c r="L30" s="28"/>
      <c r="M30" s="29" t="str">
        <f>Scheids!$D$7</f>
        <v>Chris van Noordwijk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M2</v>
      </c>
      <c r="F31" s="25"/>
      <c r="G31" s="23"/>
      <c r="H31" s="25" t="str">
        <f>$A$44</f>
        <v>Talent M2</v>
      </c>
      <c r="I31" s="26"/>
      <c r="J31" s="22"/>
      <c r="K31" s="27" t="s">
        <v>11</v>
      </c>
      <c r="L31" s="28"/>
      <c r="M31" s="29" t="str">
        <f>Scheids!$D$7</f>
        <v>Chris van Noordwijk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M2</v>
      </c>
      <c r="F32" s="25"/>
      <c r="G32" s="23" t="s">
        <v>11</v>
      </c>
      <c r="H32" s="25" t="str">
        <f>$A$47</f>
        <v>Freinet M2</v>
      </c>
      <c r="I32" s="26"/>
      <c r="J32" s="22"/>
      <c r="K32" s="27" t="s">
        <v>11</v>
      </c>
      <c r="L32" s="28"/>
      <c r="M32" s="29" t="str">
        <f>Scheids!$F$7</f>
        <v xml:space="preserve">Anita Schouten 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Max M1</v>
      </c>
      <c r="I33" s="26"/>
      <c r="J33" s="22"/>
      <c r="K33" s="27" t="s">
        <v>11</v>
      </c>
      <c r="L33" s="28"/>
      <c r="M33" s="29" t="str">
        <f>Scheids!$F$7</f>
        <v xml:space="preserve">Anita Schouten 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Galjoen M2</v>
      </c>
      <c r="F34" s="25"/>
      <c r="G34" s="23" t="s">
        <v>11</v>
      </c>
      <c r="H34" s="25" t="str">
        <f>$A$45</f>
        <v>Maan M2</v>
      </c>
      <c r="I34" s="26"/>
      <c r="J34" s="22"/>
      <c r="K34" s="27" t="s">
        <v>11</v>
      </c>
      <c r="L34" s="28"/>
      <c r="M34" s="29" t="str">
        <f>Scheids!$F$7</f>
        <v xml:space="preserve">Anita Schouten 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M2</v>
      </c>
      <c r="F35" s="25"/>
      <c r="G35" s="23"/>
      <c r="H35" s="25" t="str">
        <f>$A$43</f>
        <v>Gabriël M2</v>
      </c>
      <c r="I35" s="26"/>
      <c r="J35" s="22"/>
      <c r="K35" s="27" t="s">
        <v>11</v>
      </c>
      <c r="L35" s="28"/>
      <c r="M35" s="29" t="str">
        <f>Scheids!$D$7</f>
        <v>Chris van Noordwijk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M1</v>
      </c>
      <c r="F36" s="25"/>
      <c r="G36" s="23" t="s">
        <v>11</v>
      </c>
      <c r="H36" s="25" t="str">
        <f>$A$41</f>
        <v>Galjoen M2</v>
      </c>
      <c r="I36" s="26"/>
      <c r="J36" s="22"/>
      <c r="K36" s="27" t="s">
        <v>11</v>
      </c>
      <c r="L36" s="28"/>
      <c r="M36" s="29" t="str">
        <f>Scheids!$D$7</f>
        <v>Chris van Noordwijk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M2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 xml:space="preserve">Anita Schouten 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M2</v>
      </c>
      <c r="F38" s="36"/>
      <c r="G38" s="34" t="s">
        <v>11</v>
      </c>
      <c r="H38" s="36" t="str">
        <f>$A$44</f>
        <v>Talent M2</v>
      </c>
      <c r="I38" s="37"/>
      <c r="J38" s="33"/>
      <c r="K38" s="38" t="s">
        <v>11</v>
      </c>
      <c r="L38" s="39"/>
      <c r="M38" s="120" t="str">
        <f>Scheids!$F$7</f>
        <v xml:space="preserve">Anita Schouten 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Scholen!$D$10</f>
        <v>Galjoen M2</v>
      </c>
      <c r="B41" s="146"/>
      <c r="C41" s="146"/>
      <c r="D41" s="147"/>
      <c r="E41" s="148">
        <f>IF(AND($J$11&lt;&gt;"", $L$11&lt;&gt;""),IF($J$11&gt;$L$11,3,IF($J$11=$L$11,1,0)),"")</f>
        <v>1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1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Scholen!$D$11</f>
        <v>Maria M3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2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</v>
      </c>
      <c r="V42" s="85">
        <f>J11+L15+J19+L25+L28+L33+J37</f>
        <v>0</v>
      </c>
      <c r="W42" s="85">
        <f>R11+Q15+R19+Q25+Q28+Q33+R37</f>
        <v>3</v>
      </c>
      <c r="X42" s="93">
        <f t="shared" si="1"/>
        <v>2</v>
      </c>
    </row>
    <row r="43" spans="1:24" ht="18.75" customHeight="1" x14ac:dyDescent="0.3">
      <c r="A43" s="145" t="str">
        <f>Scholen!$D$12</f>
        <v>Gabriël M2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2</v>
      </c>
      <c r="R43" s="85">
        <f t="shared" si="2"/>
        <v>0</v>
      </c>
      <c r="S43" s="85">
        <f t="shared" si="3"/>
        <v>2</v>
      </c>
      <c r="T43" s="85">
        <f t="shared" si="4"/>
        <v>0</v>
      </c>
      <c r="U43" s="85">
        <f>J12+L15+J20+L23+J27+J32+L35</f>
        <v>0</v>
      </c>
      <c r="V43" s="85">
        <f>L12+J15+L20+J23+L27+L32+J35</f>
        <v>2</v>
      </c>
      <c r="W43" s="85">
        <f>Q12+R15+Q20+R23+Q27+Q32+R35</f>
        <v>3</v>
      </c>
      <c r="X43" s="93">
        <f t="shared" si="1"/>
        <v>7</v>
      </c>
    </row>
    <row r="44" spans="1:24" ht="18.75" customHeight="1" x14ac:dyDescent="0.3">
      <c r="A44" s="152" t="str">
        <f>Scholen!$D$13</f>
        <v>Talent M2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2</v>
      </c>
      <c r="R44" s="85">
        <f t="shared" si="2"/>
        <v>2</v>
      </c>
      <c r="S44" s="85">
        <f t="shared" si="3"/>
        <v>0</v>
      </c>
      <c r="T44" s="85">
        <f t="shared" si="4"/>
        <v>0</v>
      </c>
      <c r="U44" s="85">
        <f>L12+J16+J19+L24+J29+L31+L38</f>
        <v>3</v>
      </c>
      <c r="V44" s="85">
        <f>J12+L16+L19+J24+L29+J31+J38</f>
        <v>0</v>
      </c>
      <c r="W44" s="85">
        <f>R12+Q16+Q19+R24+Q29+R31+R38</f>
        <v>3</v>
      </c>
      <c r="X44" s="93">
        <f t="shared" si="1"/>
        <v>1</v>
      </c>
    </row>
    <row r="45" spans="1:24" ht="18.75" customHeight="1" x14ac:dyDescent="0.3">
      <c r="A45" s="145" t="str">
        <f>Scholen!$D$14</f>
        <v>Maan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2</v>
      </c>
      <c r="R45" s="85">
        <f t="shared" si="2"/>
        <v>0</v>
      </c>
      <c r="S45" s="85">
        <f t="shared" si="3"/>
        <v>2</v>
      </c>
      <c r="T45" s="85">
        <f t="shared" si="4"/>
        <v>0</v>
      </c>
      <c r="U45" s="85">
        <f>J13+L16+L20+J26+L30+L34+J37</f>
        <v>0</v>
      </c>
      <c r="V45" s="85">
        <f>L13+J16+J20+L26+J30+J34+L37</f>
        <v>3</v>
      </c>
      <c r="W45" s="85">
        <f>Q13+R16+R20+Q26+R30+R34+Q37</f>
        <v>3</v>
      </c>
      <c r="X45" s="93">
        <f t="shared" si="1"/>
        <v>7</v>
      </c>
    </row>
    <row r="46" spans="1:24" ht="18.75" customHeight="1" x14ac:dyDescent="0.3">
      <c r="A46" s="145" t="str">
        <f>Scholen!$D$15</f>
        <v>Max M1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1</v>
      </c>
      <c r="X46" s="93">
        <f t="shared" si="1"/>
        <v>3</v>
      </c>
    </row>
    <row r="47" spans="1:24" ht="18.75" customHeight="1" x14ac:dyDescent="0.3">
      <c r="A47" s="145" t="str">
        <f>IF(Scholen!$D$16&lt;&gt;"",Scholen!$D$16,"")</f>
        <v>Freinet M2</v>
      </c>
      <c r="B47" s="146"/>
      <c r="C47" s="146"/>
      <c r="D47" s="147"/>
      <c r="E47" s="159">
        <f>IF(AND($J$14&lt;&gt;"",$L$14&lt;&gt;""),IF($J$14&gt;$L$14,3,IF($J$14=$L$14,1,0)),"")</f>
        <v>1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1</v>
      </c>
      <c r="R47" s="85">
        <f t="shared" si="2"/>
        <v>0</v>
      </c>
      <c r="S47" s="85">
        <f t="shared" si="3"/>
        <v>0</v>
      </c>
      <c r="T47" s="85">
        <f t="shared" si="4"/>
        <v>1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2</v>
      </c>
      <c r="X47" s="93">
        <f t="shared" si="1"/>
        <v>4</v>
      </c>
    </row>
    <row r="48" spans="1:24" ht="18.75" customHeight="1" x14ac:dyDescent="0.3">
      <c r="A48" s="145" t="str">
        <f>IF(Scholen!$D$17&lt;&gt;"",Scholen!$D$17,"")</f>
        <v>Widar M2</v>
      </c>
      <c r="B48" s="146"/>
      <c r="C48" s="146"/>
      <c r="D48" s="147"/>
      <c r="E48" s="156">
        <f>IF(AND($J$14&lt;&gt;"",$L$14&lt;&gt;""),IF($J$14&lt;$L$14,3,IF($J$14=$L$14,1,0)),"")</f>
        <v>1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1</v>
      </c>
      <c r="R48" s="85">
        <f t="shared" si="2"/>
        <v>0</v>
      </c>
      <c r="S48" s="85">
        <f t="shared" si="3"/>
        <v>0</v>
      </c>
      <c r="T48" s="85">
        <f t="shared" si="4"/>
        <v>1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1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Scholen!$F$8</f>
        <v>Meisjes</v>
      </c>
      <c r="F8" s="130"/>
      <c r="G8" s="130"/>
      <c r="H8" s="131" t="s">
        <v>21</v>
      </c>
      <c r="I8" s="132" t="s">
        <v>26</v>
      </c>
      <c r="J8" s="130" t="s">
        <v>25</v>
      </c>
      <c r="K8" s="246">
        <f>Scholen!$G$7</f>
        <v>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Eglantier-B M1</v>
      </c>
      <c r="F11" s="134"/>
      <c r="G11" s="135" t="s">
        <v>11</v>
      </c>
      <c r="H11" s="134" t="str">
        <f>$A$42</f>
        <v>Max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Diana Schouten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M4</v>
      </c>
      <c r="F12" s="25"/>
      <c r="G12" s="23" t="s">
        <v>11</v>
      </c>
      <c r="H12" s="25" t="str">
        <f>$A$44</f>
        <v>Gabriël M3</v>
      </c>
      <c r="I12" s="26"/>
      <c r="J12" s="22">
        <v>2</v>
      </c>
      <c r="K12" s="27" t="s">
        <v>11</v>
      </c>
      <c r="L12" s="28">
        <v>1</v>
      </c>
      <c r="M12" s="29" t="str">
        <f>Scheids!$D$8</f>
        <v>Diana Schouten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M3</v>
      </c>
      <c r="F13" s="25"/>
      <c r="G13" s="23" t="s">
        <v>11</v>
      </c>
      <c r="H13" s="25" t="str">
        <f>$A$46</f>
        <v>Maan M3</v>
      </c>
      <c r="I13" s="26"/>
      <c r="J13" s="22">
        <v>2</v>
      </c>
      <c r="K13" s="27" t="s">
        <v>11</v>
      </c>
      <c r="L13" s="28">
        <v>0</v>
      </c>
      <c r="M13" s="29" t="str">
        <f>Scheids!$D$8</f>
        <v>Diana Schouten</v>
      </c>
      <c r="N13" s="30"/>
      <c r="O13" s="31"/>
      <c r="Q13" s="93">
        <v>1</v>
      </c>
      <c r="R13" s="93">
        <v>0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BMS M1</v>
      </c>
      <c r="F14" s="25"/>
      <c r="G14" s="23"/>
      <c r="H14" s="25" t="str">
        <f>$A$48</f>
        <v>Maurits M1</v>
      </c>
      <c r="I14" s="26"/>
      <c r="J14" s="22">
        <v>0</v>
      </c>
      <c r="K14" s="27" t="s">
        <v>11</v>
      </c>
      <c r="L14" s="28">
        <v>3</v>
      </c>
      <c r="M14" s="29" t="str">
        <f>Scheids!$F$8</f>
        <v>Frank Maat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M2</v>
      </c>
      <c r="F15" s="25"/>
      <c r="G15" s="23" t="s">
        <v>11</v>
      </c>
      <c r="H15" s="25" t="str">
        <f>$A$43</f>
        <v>Maria M4</v>
      </c>
      <c r="I15" s="26"/>
      <c r="J15" s="22">
        <v>0</v>
      </c>
      <c r="K15" s="27" t="s">
        <v>11</v>
      </c>
      <c r="L15" s="28">
        <v>3</v>
      </c>
      <c r="M15" s="29" t="str">
        <f>Scheids!$F$8</f>
        <v>Frank Maat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M3</v>
      </c>
      <c r="F16" s="25"/>
      <c r="G16" s="23" t="s">
        <v>11</v>
      </c>
      <c r="H16" s="25" t="str">
        <f>$A$45</f>
        <v>Talent M3</v>
      </c>
      <c r="I16" s="26"/>
      <c r="J16" s="22">
        <v>0</v>
      </c>
      <c r="K16" s="27" t="s">
        <v>11</v>
      </c>
      <c r="L16" s="28">
        <v>1</v>
      </c>
      <c r="M16" s="29" t="str">
        <f>Scheids!$F$8</f>
        <v>Frank Maat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M3</v>
      </c>
      <c r="F17" s="25"/>
      <c r="G17" s="23" t="s">
        <v>11</v>
      </c>
      <c r="H17" s="25" t="str">
        <f>$A$47</f>
        <v>BMS M1</v>
      </c>
      <c r="I17" s="26"/>
      <c r="J17" s="22"/>
      <c r="K17" s="27" t="s">
        <v>11</v>
      </c>
      <c r="L17" s="28"/>
      <c r="M17" s="29" t="str">
        <f>Scheids!$D$8</f>
        <v>Diana Schouten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Maurits M1</v>
      </c>
      <c r="F18" s="25"/>
      <c r="G18" s="23"/>
      <c r="H18" s="25" t="str">
        <f>$A$41</f>
        <v>Eglantier-B M1</v>
      </c>
      <c r="I18" s="26"/>
      <c r="J18" s="22"/>
      <c r="K18" s="27" t="s">
        <v>11</v>
      </c>
      <c r="L18" s="28"/>
      <c r="M18" s="29" t="str">
        <f>Scheids!$D$8</f>
        <v>Diana Schouten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M3</v>
      </c>
      <c r="F19" s="25"/>
      <c r="G19" s="23" t="s">
        <v>11</v>
      </c>
      <c r="H19" s="25" t="str">
        <f>$A$42</f>
        <v>Max M2</v>
      </c>
      <c r="I19" s="26"/>
      <c r="J19" s="22"/>
      <c r="K19" s="27" t="s">
        <v>11</v>
      </c>
      <c r="L19" s="28"/>
      <c r="M19" s="29" t="str">
        <f>Scheids!$D$8</f>
        <v>Diana Schouten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M4</v>
      </c>
      <c r="F20" s="25"/>
      <c r="G20" s="23" t="s">
        <v>11</v>
      </c>
      <c r="H20" s="25" t="str">
        <f>$A$45</f>
        <v>Talent M3</v>
      </c>
      <c r="I20" s="26"/>
      <c r="J20" s="22"/>
      <c r="K20" s="27" t="s">
        <v>11</v>
      </c>
      <c r="L20" s="28"/>
      <c r="M20" s="29" t="str">
        <f>Scheids!$F$8</f>
        <v>Frank Maat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Eglantier-B M1</v>
      </c>
      <c r="F21" s="25"/>
      <c r="G21" s="23" t="s">
        <v>11</v>
      </c>
      <c r="H21" s="25" t="str">
        <f>$A$47</f>
        <v>BMS M1</v>
      </c>
      <c r="I21" s="26"/>
      <c r="J21" s="22"/>
      <c r="K21" s="27" t="s">
        <v>11</v>
      </c>
      <c r="L21" s="28"/>
      <c r="M21" s="29" t="str">
        <f>Scheids!$F$8</f>
        <v>Frank Maat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Maan M3</v>
      </c>
      <c r="F22" s="25"/>
      <c r="G22" s="23"/>
      <c r="H22" s="25" t="str">
        <f>$A$48</f>
        <v>Maurits M1</v>
      </c>
      <c r="I22" s="26"/>
      <c r="J22" s="22"/>
      <c r="K22" s="27" t="s">
        <v>11</v>
      </c>
      <c r="L22" s="28"/>
      <c r="M22" s="29" t="str">
        <f>Scheids!$F$8</f>
        <v>Frank Maat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/>
      <c r="K23" s="27" t="s">
        <v>11</v>
      </c>
      <c r="L23" s="28"/>
      <c r="M23" s="29" t="str">
        <f>Scheids!$D$8</f>
        <v>Diana Schouten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M3</v>
      </c>
      <c r="F24" s="25"/>
      <c r="G24" s="23" t="s">
        <v>11</v>
      </c>
      <c r="H24" s="25" t="str">
        <f>$A$44</f>
        <v>Gabriël M3</v>
      </c>
      <c r="I24" s="26"/>
      <c r="J24" s="22"/>
      <c r="K24" s="27" t="s">
        <v>11</v>
      </c>
      <c r="L24" s="28"/>
      <c r="M24" s="29" t="str">
        <f>Scheids!$D$8</f>
        <v>Diana Schouten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M2</v>
      </c>
      <c r="F25" s="25"/>
      <c r="G25" s="23" t="s">
        <v>11</v>
      </c>
      <c r="H25" s="25" t="str">
        <f>$A$47</f>
        <v>BMS M1</v>
      </c>
      <c r="I25" s="26"/>
      <c r="J25" s="22"/>
      <c r="K25" s="27" t="s">
        <v>11</v>
      </c>
      <c r="L25" s="28"/>
      <c r="M25" s="29" t="str">
        <f>Scheids!$D$8</f>
        <v>Diana Schouten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Talent M3</v>
      </c>
      <c r="F26" s="25"/>
      <c r="G26" s="23"/>
      <c r="H26" s="25" t="str">
        <f>$A$48</f>
        <v>Maurits M1</v>
      </c>
      <c r="I26" s="26"/>
      <c r="J26" s="22"/>
      <c r="K26" s="27" t="s">
        <v>11</v>
      </c>
      <c r="L26" s="28"/>
      <c r="M26" s="29" t="str">
        <f>Scheids!$F$8</f>
        <v>Frank Maat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M4</v>
      </c>
      <c r="F27" s="25"/>
      <c r="G27" s="23" t="s">
        <v>11</v>
      </c>
      <c r="H27" s="25" t="str">
        <f>$A$46</f>
        <v>Maan M3</v>
      </c>
      <c r="I27" s="26"/>
      <c r="J27" s="22"/>
      <c r="K27" s="27" t="s">
        <v>11</v>
      </c>
      <c r="L27" s="28"/>
      <c r="M27" s="29" t="str">
        <f>Scheids!$F$8</f>
        <v>Frank Maat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M2</v>
      </c>
      <c r="F28" s="25"/>
      <c r="G28" s="23"/>
      <c r="H28" s="25" t="str">
        <f>$A$48</f>
        <v>Maurits M1</v>
      </c>
      <c r="I28" s="26"/>
      <c r="J28" s="22"/>
      <c r="K28" s="27" t="s">
        <v>11</v>
      </c>
      <c r="L28" s="28"/>
      <c r="M28" s="29" t="str">
        <f>Scheids!$F$8</f>
        <v>Frank Maat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M3</v>
      </c>
      <c r="F29" s="25"/>
      <c r="G29" s="23" t="s">
        <v>11</v>
      </c>
      <c r="H29" s="25" t="str">
        <f>$A$41</f>
        <v>Eglantier-B M1</v>
      </c>
      <c r="I29" s="26"/>
      <c r="J29" s="22"/>
      <c r="K29" s="27" t="s">
        <v>11</v>
      </c>
      <c r="L29" s="28"/>
      <c r="M29" s="29" t="str">
        <f>Scheids!$D$8</f>
        <v>Diana Schouten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BMS M1</v>
      </c>
      <c r="F30" s="25"/>
      <c r="G30" s="23" t="s">
        <v>11</v>
      </c>
      <c r="H30" s="25" t="str">
        <f>$A$45</f>
        <v>Talent M3</v>
      </c>
      <c r="I30" s="26"/>
      <c r="J30" s="22"/>
      <c r="K30" s="27" t="s">
        <v>11</v>
      </c>
      <c r="L30" s="28"/>
      <c r="M30" s="29" t="str">
        <f>Scheids!$D$8</f>
        <v>Diana Schouten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Maurits M1</v>
      </c>
      <c r="F31" s="25"/>
      <c r="G31" s="23"/>
      <c r="H31" s="25" t="str">
        <f>$A$44</f>
        <v>Gabriël M3</v>
      </c>
      <c r="I31" s="26"/>
      <c r="J31" s="22"/>
      <c r="K31" s="27" t="s">
        <v>11</v>
      </c>
      <c r="L31" s="28"/>
      <c r="M31" s="29" t="str">
        <f>Scheids!$D$8</f>
        <v>Diana Schouten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M4</v>
      </c>
      <c r="F32" s="25"/>
      <c r="G32" s="23" t="s">
        <v>11</v>
      </c>
      <c r="H32" s="25" t="str">
        <f>$A$47</f>
        <v>BMS M1</v>
      </c>
      <c r="I32" s="26"/>
      <c r="J32" s="22"/>
      <c r="K32" s="27" t="s">
        <v>11</v>
      </c>
      <c r="L32" s="28"/>
      <c r="M32" s="29" t="str">
        <f>Scheids!$F$8</f>
        <v>Frank Maat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M2</v>
      </c>
      <c r="F33" s="25"/>
      <c r="G33" s="23" t="s">
        <v>11</v>
      </c>
      <c r="H33" s="25" t="str">
        <f>$A$46</f>
        <v>Maan M3</v>
      </c>
      <c r="I33" s="26"/>
      <c r="J33" s="22"/>
      <c r="K33" s="27" t="s">
        <v>11</v>
      </c>
      <c r="L33" s="28"/>
      <c r="M33" s="29" t="str">
        <f>Scheids!$F$8</f>
        <v>Frank Maat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Eglantier-B M1</v>
      </c>
      <c r="F34" s="25"/>
      <c r="G34" s="23" t="s">
        <v>11</v>
      </c>
      <c r="H34" s="25" t="str">
        <f>$A$45</f>
        <v>Talent M3</v>
      </c>
      <c r="I34" s="26"/>
      <c r="J34" s="22"/>
      <c r="K34" s="27" t="s">
        <v>11</v>
      </c>
      <c r="L34" s="28"/>
      <c r="M34" s="29" t="str">
        <f>Scheids!$F$8</f>
        <v>Frank Maat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Maurits M1</v>
      </c>
      <c r="F35" s="25"/>
      <c r="G35" s="23"/>
      <c r="H35" s="25" t="str">
        <f>$A$43</f>
        <v>Maria M4</v>
      </c>
      <c r="I35" s="26"/>
      <c r="J35" s="22"/>
      <c r="K35" s="27" t="s">
        <v>11</v>
      </c>
      <c r="L35" s="28"/>
      <c r="M35" s="29" t="str">
        <f>Scheids!$D$8</f>
        <v>Diana Schouten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M3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M3</v>
      </c>
      <c r="F37" s="25"/>
      <c r="G37" s="23" t="s">
        <v>11</v>
      </c>
      <c r="H37" s="25" t="str">
        <f>$A$42</f>
        <v>Max M2</v>
      </c>
      <c r="I37" s="26"/>
      <c r="J37" s="22"/>
      <c r="K37" s="27" t="s">
        <v>11</v>
      </c>
      <c r="L37" s="28"/>
      <c r="M37" s="29" t="str">
        <f>Scheids!$F$8</f>
        <v>Frank Maat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BMS M1</v>
      </c>
      <c r="F38" s="36"/>
      <c r="G38" s="34" t="s">
        <v>11</v>
      </c>
      <c r="H38" s="36" t="str">
        <f>$A$44</f>
        <v>Gabriël M3</v>
      </c>
      <c r="I38" s="37"/>
      <c r="J38" s="33"/>
      <c r="K38" s="38" t="s">
        <v>11</v>
      </c>
      <c r="L38" s="39"/>
      <c r="M38" s="120" t="str">
        <f>Scheids!$F$8</f>
        <v>Frank Maat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Scholen!$F$10</f>
        <v>Eglantier-B M1</v>
      </c>
      <c r="B41" s="146"/>
      <c r="C41" s="146"/>
      <c r="D41" s="147"/>
      <c r="E41" s="148">
        <f>IF(AND($J$11&lt;&gt;"", $L$11&lt;&gt;""),IF($J$11&gt;$L$11,3,IF($J$11=$L$11,1,0)),"")</f>
        <v>1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1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Scholen!$F$11</f>
        <v>Max M2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3</v>
      </c>
      <c r="W42" s="85">
        <f>R11+Q15+R19+Q25+Q28+Q33+R37</f>
        <v>3</v>
      </c>
      <c r="X42" s="93">
        <f t="shared" si="1"/>
        <v>4</v>
      </c>
    </row>
    <row r="43" spans="1:24" ht="18.75" customHeight="1" x14ac:dyDescent="0.3">
      <c r="A43" s="145" t="str">
        <f>Scholen!$F$12</f>
        <v>Maria M4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2</v>
      </c>
      <c r="R43" s="85">
        <f t="shared" si="2"/>
        <v>2</v>
      </c>
      <c r="S43" s="85">
        <f t="shared" si="3"/>
        <v>0</v>
      </c>
      <c r="T43" s="85">
        <f t="shared" si="4"/>
        <v>0</v>
      </c>
      <c r="U43" s="85">
        <f>J12+L15+J20+L23+J27+J32+L35</f>
        <v>5</v>
      </c>
      <c r="V43" s="85">
        <f>L12+J15+L20+J23+L27+L32+J35</f>
        <v>1</v>
      </c>
      <c r="W43" s="85">
        <f>Q12+R15+Q20+R23+Q27+Q32+R35</f>
        <v>3</v>
      </c>
      <c r="X43" s="93">
        <f t="shared" si="1"/>
        <v>1</v>
      </c>
    </row>
    <row r="44" spans="1:24" ht="18.75" customHeight="1" x14ac:dyDescent="0.3">
      <c r="A44" s="152" t="str">
        <f>Scholen!$F$13</f>
        <v>Gabriël M3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2</v>
      </c>
      <c r="R44" s="85">
        <f t="shared" si="2"/>
        <v>0</v>
      </c>
      <c r="S44" s="85">
        <f t="shared" si="3"/>
        <v>2</v>
      </c>
      <c r="T44" s="85">
        <f t="shared" si="4"/>
        <v>0</v>
      </c>
      <c r="U44" s="85">
        <f>L12+J16+J19+L24+J29+L31+L38</f>
        <v>1</v>
      </c>
      <c r="V44" s="85">
        <f>J12+L16+L19+J24+L29+J31+J38</f>
        <v>3</v>
      </c>
      <c r="W44" s="85">
        <f>R12+Q16+Q19+R24+Q29+R31+R38</f>
        <v>3</v>
      </c>
      <c r="X44" s="93">
        <f t="shared" si="1"/>
        <v>6</v>
      </c>
    </row>
    <row r="45" spans="1:24" ht="18.75" customHeight="1" x14ac:dyDescent="0.3">
      <c r="A45" s="145" t="str">
        <f>Scholen!$F$14</f>
        <v>Talent M3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2</v>
      </c>
      <c r="R45" s="85">
        <f t="shared" si="2"/>
        <v>2</v>
      </c>
      <c r="S45" s="85">
        <f t="shared" si="3"/>
        <v>0</v>
      </c>
      <c r="T45" s="85">
        <f t="shared" si="4"/>
        <v>0</v>
      </c>
      <c r="U45" s="85">
        <f>J13+L16+L20+J26+L30+L34+J37</f>
        <v>3</v>
      </c>
      <c r="V45" s="85">
        <f>L13+J16+J20+L26+J30+J34+L37</f>
        <v>0</v>
      </c>
      <c r="W45" s="85">
        <f>Q13+R16+R20+Q26+R30+R34+Q37</f>
        <v>3</v>
      </c>
      <c r="X45" s="93">
        <f t="shared" si="1"/>
        <v>1</v>
      </c>
    </row>
    <row r="46" spans="1:24" ht="18.75" customHeight="1" x14ac:dyDescent="0.3">
      <c r="A46" s="145" t="str">
        <f>Scholen!$F$15</f>
        <v>Maan M3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2</v>
      </c>
      <c r="W46" s="85">
        <f>R13+Q17+Q22+Q24+R27+R33+Q36</f>
        <v>0</v>
      </c>
      <c r="X46" s="93">
        <f t="shared" si="1"/>
        <v>6</v>
      </c>
    </row>
    <row r="47" spans="1:24" ht="18.75" customHeight="1" x14ac:dyDescent="0.3">
      <c r="A47" s="145" t="str">
        <f>IF(Scholen!$F$16&lt;&gt;"",Scholen!$F$16,"")</f>
        <v>BMS M1</v>
      </c>
      <c r="B47" s="146"/>
      <c r="C47" s="146"/>
      <c r="D47" s="147"/>
      <c r="E47" s="159">
        <f>IF(AND($J$14&lt;&gt;"",$L$14&lt;&gt;""),IF($J$14&gt;$L$14,3,IF($J$14=$L$14,1,0)),"")</f>
        <v>0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1</v>
      </c>
      <c r="R47" s="85">
        <f t="shared" si="2"/>
        <v>0</v>
      </c>
      <c r="S47" s="85">
        <f t="shared" si="3"/>
        <v>1</v>
      </c>
      <c r="T47" s="85">
        <f t="shared" si="4"/>
        <v>0</v>
      </c>
      <c r="U47" s="85">
        <f>J14+L17+L21+L25+J30+L32+J38</f>
        <v>0</v>
      </c>
      <c r="V47" s="85">
        <f>L14+J17+J21+J25+L30+J32+L38</f>
        <v>3</v>
      </c>
      <c r="W47" s="85">
        <f>Q14+R17+R21+R25+Q30+R32+Q38</f>
        <v>2</v>
      </c>
      <c r="X47" s="93">
        <f t="shared" si="1"/>
        <v>6</v>
      </c>
    </row>
    <row r="48" spans="1:24" ht="18.75" customHeight="1" x14ac:dyDescent="0.3">
      <c r="A48" s="145" t="str">
        <f>IF(Scholen!$F$17&lt;&gt;"",Scholen!$F$17,"")</f>
        <v>Maurits M1</v>
      </c>
      <c r="B48" s="146"/>
      <c r="C48" s="146"/>
      <c r="D48" s="147"/>
      <c r="E48" s="156">
        <f>IF(AND($J$14&lt;&gt;"",$L$14&lt;&gt;""),IF($J$14&lt;$L$14,3,IF($J$14=$L$14,1,0)),"")</f>
        <v>3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3</v>
      </c>
      <c r="Q48" s="85">
        <f t="shared" si="0"/>
        <v>1</v>
      </c>
      <c r="R48" s="85">
        <f t="shared" si="2"/>
        <v>1</v>
      </c>
      <c r="S48" s="85">
        <f t="shared" si="3"/>
        <v>0</v>
      </c>
      <c r="T48" s="85">
        <f t="shared" si="4"/>
        <v>0</v>
      </c>
      <c r="U48" s="85">
        <f>L14+J18+L22+L26+L28+J31+J35</f>
        <v>3</v>
      </c>
      <c r="V48" s="85">
        <f>J14+L18+J22+J26+J28+L31+L35</f>
        <v>0</v>
      </c>
      <c r="W48" s="85">
        <f>+R14+Q18+R22+R26+R28+Q31+Q35</f>
        <v>2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Scholen!$H$8</f>
        <v>Meisjes</v>
      </c>
      <c r="F8" s="130"/>
      <c r="G8" s="130"/>
      <c r="H8" s="131" t="s">
        <v>21</v>
      </c>
      <c r="I8" s="132" t="s">
        <v>27</v>
      </c>
      <c r="J8" s="130" t="s">
        <v>25</v>
      </c>
      <c r="K8" s="246">
        <f>Scholen!$I$7</f>
        <v>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Springwijs M1</v>
      </c>
      <c r="F11" s="134"/>
      <c r="G11" s="135" t="s">
        <v>11</v>
      </c>
      <c r="H11" s="134" t="str">
        <f>$A$42</f>
        <v>Rembrandt M1</v>
      </c>
      <c r="I11" s="17"/>
      <c r="J11" s="16">
        <v>0</v>
      </c>
      <c r="K11" s="95" t="s">
        <v>11</v>
      </c>
      <c r="L11" s="18">
        <v>1</v>
      </c>
      <c r="M11" s="19" t="str">
        <f>Scheids!$D$9</f>
        <v>Leo Boer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Bonte Pael M1</v>
      </c>
      <c r="F12" s="25"/>
      <c r="G12" s="23" t="s">
        <v>11</v>
      </c>
      <c r="H12" s="25" t="str">
        <f>$A$44</f>
        <v>Maria M5</v>
      </c>
      <c r="I12" s="26"/>
      <c r="J12" s="22">
        <v>1</v>
      </c>
      <c r="K12" s="27" t="s">
        <v>11</v>
      </c>
      <c r="L12" s="28">
        <v>0</v>
      </c>
      <c r="M12" s="29" t="str">
        <f>Scheids!$D$9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Tuin M1</v>
      </c>
      <c r="F13" s="25"/>
      <c r="G13" s="23" t="s">
        <v>11</v>
      </c>
      <c r="H13" s="25" t="str">
        <f>$A$46</f>
        <v>Vermeer M1</v>
      </c>
      <c r="I13" s="26"/>
      <c r="J13" s="22">
        <v>0</v>
      </c>
      <c r="K13" s="27" t="s">
        <v>11</v>
      </c>
      <c r="L13" s="28">
        <v>1</v>
      </c>
      <c r="M13" s="29" t="str">
        <f>Scheids!$D$9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39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Rembrandt M1</v>
      </c>
      <c r="F15" s="25"/>
      <c r="G15" s="23" t="s">
        <v>11</v>
      </c>
      <c r="H15" s="25" t="str">
        <f>$A$43</f>
        <v>Bonte Pael M1</v>
      </c>
      <c r="I15" s="26"/>
      <c r="J15" s="22">
        <v>1</v>
      </c>
      <c r="K15" s="27" t="s">
        <v>11</v>
      </c>
      <c r="L15" s="28">
        <v>0</v>
      </c>
      <c r="M15" s="29" t="str">
        <f>Scheids!$F$9</f>
        <v>Stefan Sturtz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Tuin M1</v>
      </c>
      <c r="I16" s="26"/>
      <c r="J16" s="22">
        <v>0</v>
      </c>
      <c r="K16" s="27" t="s">
        <v>11</v>
      </c>
      <c r="L16" s="28">
        <v>1</v>
      </c>
      <c r="M16" s="29" t="str">
        <f>Scheids!$F$9</f>
        <v>Stefan Sturtz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Vermeer M1</v>
      </c>
      <c r="F17" s="25"/>
      <c r="G17" s="23" t="s">
        <v>11</v>
      </c>
      <c r="H17" s="25" t="str">
        <f>$A$47</f>
        <v>Mozaïek M1</v>
      </c>
      <c r="I17" s="26"/>
      <c r="J17" s="22"/>
      <c r="K17" s="27" t="s">
        <v>11</v>
      </c>
      <c r="L17" s="28"/>
      <c r="M17" s="29" t="str">
        <f>Scheids!$F$9</f>
        <v>Stefan Sturtz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Rembrandt M1</v>
      </c>
      <c r="I19" s="26"/>
      <c r="J19" s="22"/>
      <c r="K19" s="27" t="s">
        <v>11</v>
      </c>
      <c r="L19" s="28"/>
      <c r="M19" s="29" t="str">
        <f>Scheids!$D$9</f>
        <v>Leo Boer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Bonte Pael M1</v>
      </c>
      <c r="F20" s="25"/>
      <c r="G20" s="23" t="s">
        <v>11</v>
      </c>
      <c r="H20" s="25" t="str">
        <f>$A$45</f>
        <v>Tuin M1</v>
      </c>
      <c r="I20" s="26"/>
      <c r="J20" s="22"/>
      <c r="K20" s="27" t="s">
        <v>11</v>
      </c>
      <c r="L20" s="28"/>
      <c r="M20" s="29" t="str">
        <f>Scheids!$D$9</f>
        <v>Leo Boer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Springwijs M1</v>
      </c>
      <c r="F21" s="25"/>
      <c r="G21" s="23" t="s">
        <v>11</v>
      </c>
      <c r="H21" s="25" t="str">
        <f>$A$47</f>
        <v>Mozaïek M1</v>
      </c>
      <c r="I21" s="26"/>
      <c r="J21" s="22"/>
      <c r="K21" s="27" t="s">
        <v>11</v>
      </c>
      <c r="L21" s="28"/>
      <c r="M21" s="29" t="str">
        <f>Scheids!$D$9</f>
        <v>Leo Boer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Springwijs M1</v>
      </c>
      <c r="F23" s="25"/>
      <c r="G23" s="23" t="s">
        <v>11</v>
      </c>
      <c r="H23" s="25" t="str">
        <f>$A$43</f>
        <v>Bonte Pael M1</v>
      </c>
      <c r="I23" s="26"/>
      <c r="J23" s="22"/>
      <c r="K23" s="27" t="s">
        <v>11</v>
      </c>
      <c r="L23" s="28"/>
      <c r="M23" s="29" t="str">
        <f>Scheids!$F$9</f>
        <v>Stefan Sturtz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Vermeer M1</v>
      </c>
      <c r="F24" s="25"/>
      <c r="G24" s="23" t="s">
        <v>11</v>
      </c>
      <c r="H24" s="25" t="str">
        <f>$A$44</f>
        <v>Maria M5</v>
      </c>
      <c r="I24" s="26"/>
      <c r="J24" s="22"/>
      <c r="K24" s="27" t="s">
        <v>11</v>
      </c>
      <c r="L24" s="28"/>
      <c r="M24" s="29" t="str">
        <f>Scheids!$F$9</f>
        <v>Stefan Sturtz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Rembrandt M1</v>
      </c>
      <c r="F25" s="25"/>
      <c r="G25" s="23" t="s">
        <v>11</v>
      </c>
      <c r="H25" s="25" t="str">
        <f>$A$47</f>
        <v>Mozaïek M1</v>
      </c>
      <c r="I25" s="26"/>
      <c r="J25" s="22"/>
      <c r="K25" s="27" t="s">
        <v>11</v>
      </c>
      <c r="L25" s="28"/>
      <c r="M25" s="29" t="str">
        <f>Scheids!$F$9</f>
        <v>Stefan Sturtz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39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Bonte Pael M1</v>
      </c>
      <c r="F27" s="25"/>
      <c r="G27" s="23" t="s">
        <v>11</v>
      </c>
      <c r="H27" s="25" t="str">
        <f>$A$46</f>
        <v>Vermeer M1</v>
      </c>
      <c r="I27" s="26"/>
      <c r="J27" s="22"/>
      <c r="K27" s="27" t="s">
        <v>11</v>
      </c>
      <c r="L27" s="28"/>
      <c r="M27" s="29" t="str">
        <f>Scheids!$D$9</f>
        <v>Leo Boer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Springwijs M1</v>
      </c>
      <c r="I29" s="26"/>
      <c r="J29" s="22"/>
      <c r="K29" s="27" t="s">
        <v>11</v>
      </c>
      <c r="L29" s="28"/>
      <c r="M29" s="29" t="str">
        <f>Scheids!$D$9</f>
        <v>Leo Boer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M1</v>
      </c>
      <c r="F30" s="25"/>
      <c r="G30" s="23" t="s">
        <v>11</v>
      </c>
      <c r="H30" s="25" t="str">
        <f>$A$45</f>
        <v>Tuin M1</v>
      </c>
      <c r="I30" s="26"/>
      <c r="J30" s="22"/>
      <c r="K30" s="27" t="s">
        <v>11</v>
      </c>
      <c r="L30" s="28"/>
      <c r="M30" s="29" t="str">
        <f>Scheids!$D$9</f>
        <v>Leo Boer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Bonte Pael M1</v>
      </c>
      <c r="F32" s="25"/>
      <c r="G32" s="23" t="s">
        <v>11</v>
      </c>
      <c r="H32" s="25" t="str">
        <f>$A$47</f>
        <v>Mozaïek M1</v>
      </c>
      <c r="I32" s="26"/>
      <c r="J32" s="22"/>
      <c r="K32" s="27" t="s">
        <v>11</v>
      </c>
      <c r="L32" s="28"/>
      <c r="M32" s="29" t="str">
        <f>Scheids!$F$9</f>
        <v>Stefan Sturtz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Rembrandt M1</v>
      </c>
      <c r="F33" s="25"/>
      <c r="G33" s="23" t="s">
        <v>11</v>
      </c>
      <c r="H33" s="25" t="str">
        <f>$A$46</f>
        <v>Vermeer M1</v>
      </c>
      <c r="I33" s="26"/>
      <c r="J33" s="22"/>
      <c r="K33" s="27" t="s">
        <v>11</v>
      </c>
      <c r="L33" s="28"/>
      <c r="M33" s="29" t="str">
        <f>Scheids!$F$9</f>
        <v>Stefan Sturtz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Springwijs M1</v>
      </c>
      <c r="F34" s="25"/>
      <c r="G34" s="23" t="s">
        <v>11</v>
      </c>
      <c r="H34" s="25" t="str">
        <f>$A$45</f>
        <v>Tuin M1</v>
      </c>
      <c r="I34" s="26"/>
      <c r="J34" s="22"/>
      <c r="K34" s="27" t="s">
        <v>11</v>
      </c>
      <c r="L34" s="28"/>
      <c r="M34" s="29" t="str">
        <f>Scheids!$F$9</f>
        <v>Stefan Sturtz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Vermeer M1</v>
      </c>
      <c r="F36" s="25"/>
      <c r="G36" s="23" t="s">
        <v>11</v>
      </c>
      <c r="H36" s="25" t="str">
        <f>$A$41</f>
        <v>Springwijs M1</v>
      </c>
      <c r="I36" s="26"/>
      <c r="J36" s="22"/>
      <c r="K36" s="27" t="s">
        <v>11</v>
      </c>
      <c r="L36" s="28"/>
      <c r="M36" s="29" t="str">
        <f>Scheids!$D$9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Tuin M1</v>
      </c>
      <c r="F37" s="25"/>
      <c r="G37" s="23" t="s">
        <v>11</v>
      </c>
      <c r="H37" s="25" t="str">
        <f>$A$42</f>
        <v>Rembrandt M1</v>
      </c>
      <c r="I37" s="26"/>
      <c r="J37" s="22"/>
      <c r="K37" s="27" t="s">
        <v>11</v>
      </c>
      <c r="L37" s="28"/>
      <c r="M37" s="29" t="str">
        <f>Scheids!$F$9</f>
        <v>Stefan Sturtz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M1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0" t="str">
        <f>Scheids!$F$9</f>
        <v>Stefan Sturtz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Scholen!$H$10</f>
        <v>Springwijs M1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Scholen!$H$11</f>
        <v>Rembrandt M1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2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2</v>
      </c>
      <c r="V42" s="85">
        <f>J11+L15+J19+L25+L28+L33+J37</f>
        <v>0</v>
      </c>
      <c r="W42" s="85">
        <f>R11+Q15+R19+Q25+Q28+Q33+R37</f>
        <v>3</v>
      </c>
      <c r="X42" s="93">
        <f t="shared" si="1"/>
        <v>1</v>
      </c>
    </row>
    <row r="43" spans="1:24" ht="18.75" customHeight="1" x14ac:dyDescent="0.3">
      <c r="A43" s="145" t="str">
        <f>Scholen!$H$12</f>
        <v>Bonte Pael M1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2</v>
      </c>
      <c r="R43" s="85">
        <f t="shared" si="2"/>
        <v>1</v>
      </c>
      <c r="S43" s="85">
        <f t="shared" si="3"/>
        <v>1</v>
      </c>
      <c r="T43" s="85">
        <f t="shared" si="4"/>
        <v>0</v>
      </c>
      <c r="U43" s="85">
        <f>J12+L15+J20+L23+J27+J32+L35</f>
        <v>1</v>
      </c>
      <c r="V43" s="85">
        <f>L12+J15+L20+J23+L27+L32+J35</f>
        <v>1</v>
      </c>
      <c r="W43" s="85">
        <f>Q12+R15+Q20+R23+Q27+Q32+R35</f>
        <v>3</v>
      </c>
      <c r="X43" s="93">
        <f t="shared" si="1"/>
        <v>2</v>
      </c>
    </row>
    <row r="44" spans="1:24" ht="18.75" customHeight="1" x14ac:dyDescent="0.3">
      <c r="A44" s="152" t="str">
        <f>Scholen!$H$13</f>
        <v>Maria M5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2</v>
      </c>
      <c r="R44" s="85">
        <f t="shared" si="2"/>
        <v>0</v>
      </c>
      <c r="S44" s="85">
        <f t="shared" si="3"/>
        <v>2</v>
      </c>
      <c r="T44" s="85">
        <f t="shared" si="4"/>
        <v>0</v>
      </c>
      <c r="U44" s="85">
        <f>L12+J16+J19+L24+J29+L31+L38</f>
        <v>0</v>
      </c>
      <c r="V44" s="85">
        <f>J12+L16+L19+J24+L29+J31+J38</f>
        <v>2</v>
      </c>
      <c r="W44" s="85">
        <f>R12+Q16+Q19+R24+Q29+R31+R38</f>
        <v>3</v>
      </c>
      <c r="X44" s="93">
        <f t="shared" si="1"/>
        <v>5</v>
      </c>
    </row>
    <row r="45" spans="1:24" ht="18.75" customHeight="1" x14ac:dyDescent="0.3">
      <c r="A45" s="145" t="str">
        <f>Scholen!$H$14</f>
        <v>Tuin M1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1</v>
      </c>
      <c r="V45" s="85">
        <f>L13+J16+J20+L26+J30+J34+L37</f>
        <v>1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5" t="str">
        <f>Scholen!$H$15</f>
        <v>Vermeer M1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2</v>
      </c>
      <c r="X46" s="93">
        <f t="shared" si="1"/>
        <v>2</v>
      </c>
    </row>
    <row r="47" spans="1:24" ht="18.75" customHeight="1" x14ac:dyDescent="0.3">
      <c r="A47" s="145" t="str">
        <f>IF(Scholen!$H$16&lt;&gt;"",Scholen!$H$16,"")</f>
        <v>Mozaïek M1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IF(Scholen!$H$17&lt;&gt;"",Scholen!$H$17,"")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Scholen!$J$8</f>
        <v>Gemengd</v>
      </c>
      <c r="F8" s="130"/>
      <c r="G8" s="130"/>
      <c r="H8" s="131" t="s">
        <v>21</v>
      </c>
      <c r="I8" s="132" t="s">
        <v>28</v>
      </c>
      <c r="J8" s="130" t="s">
        <v>25</v>
      </c>
      <c r="K8" s="246">
        <f>Scholen!$K$7</f>
        <v>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Horizon G1</v>
      </c>
      <c r="F11" s="134"/>
      <c r="G11" s="135" t="s">
        <v>11</v>
      </c>
      <c r="H11" s="134" t="str">
        <f>$A$42</f>
        <v>Maria G1</v>
      </c>
      <c r="I11" s="17"/>
      <c r="J11" s="16">
        <v>3</v>
      </c>
      <c r="K11" s="95" t="s">
        <v>11</v>
      </c>
      <c r="L11" s="18">
        <v>0</v>
      </c>
      <c r="M11" s="19" t="str">
        <f>Scheids!$D$10</f>
        <v>Ruud Bakas</v>
      </c>
      <c r="N11" s="136"/>
      <c r="O11" s="20"/>
      <c r="Q11" s="126">
        <v>1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G1</v>
      </c>
      <c r="F12" s="25"/>
      <c r="G12" s="23" t="s">
        <v>11</v>
      </c>
      <c r="H12" s="25" t="str">
        <f>$A$44</f>
        <v>Rembrandt G1</v>
      </c>
      <c r="I12" s="26"/>
      <c r="J12" s="22">
        <v>3</v>
      </c>
      <c r="K12" s="27" t="s">
        <v>11</v>
      </c>
      <c r="L12" s="28">
        <v>0</v>
      </c>
      <c r="M12" s="29" t="str">
        <f>Scheids!$D$10</f>
        <v>Ruud Bakas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Horizon G2</v>
      </c>
      <c r="F13" s="25"/>
      <c r="G13" s="23" t="s">
        <v>11</v>
      </c>
      <c r="H13" s="25" t="str">
        <f>$A$46</f>
        <v>Mozaïek G1</v>
      </c>
      <c r="I13" s="26"/>
      <c r="J13" s="22">
        <v>1</v>
      </c>
      <c r="K13" s="27" t="s">
        <v>11</v>
      </c>
      <c r="L13" s="28">
        <v>0</v>
      </c>
      <c r="M13" s="29" t="str">
        <f>Scheids!$D$10</f>
        <v>Ruud Bakas</v>
      </c>
      <c r="N13" s="30"/>
      <c r="O13" s="31"/>
      <c r="Q13" s="93">
        <v>0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Cornelis G1</v>
      </c>
      <c r="F14" s="25"/>
      <c r="G14" s="23"/>
      <c r="H14" s="25" t="str">
        <f>$A$48</f>
        <v>Springwijs G1</v>
      </c>
      <c r="I14" s="26"/>
      <c r="J14" s="22">
        <v>0</v>
      </c>
      <c r="K14" s="27" t="s">
        <v>11</v>
      </c>
      <c r="L14" s="28">
        <v>1</v>
      </c>
      <c r="M14" s="29" t="str">
        <f>Scheids!$F$10</f>
        <v>Michael Koster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G1</v>
      </c>
      <c r="F15" s="25"/>
      <c r="G15" s="23" t="s">
        <v>11</v>
      </c>
      <c r="H15" s="25" t="str">
        <f>$A$43</f>
        <v>Gabriël G1</v>
      </c>
      <c r="I15" s="26"/>
      <c r="J15" s="22">
        <v>0</v>
      </c>
      <c r="K15" s="27" t="s">
        <v>11</v>
      </c>
      <c r="L15" s="28">
        <v>4</v>
      </c>
      <c r="M15" s="29" t="str">
        <f>Scheids!$F$10</f>
        <v>Michael Koster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Rembrandt G1</v>
      </c>
      <c r="F16" s="25"/>
      <c r="G16" s="23" t="s">
        <v>11</v>
      </c>
      <c r="H16" s="25" t="str">
        <f>$A$45</f>
        <v>Horizon G2</v>
      </c>
      <c r="I16" s="26"/>
      <c r="J16" s="22">
        <v>0</v>
      </c>
      <c r="K16" s="27" t="s">
        <v>11</v>
      </c>
      <c r="L16" s="28">
        <v>2</v>
      </c>
      <c r="M16" s="29" t="str">
        <f>Scheids!$F$10</f>
        <v>Michael Koster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Mozaïek G1</v>
      </c>
      <c r="F17" s="25"/>
      <c r="G17" s="23" t="s">
        <v>11</v>
      </c>
      <c r="H17" s="25" t="str">
        <f>$A$47</f>
        <v>Cornelis G1</v>
      </c>
      <c r="I17" s="26"/>
      <c r="J17" s="22"/>
      <c r="K17" s="27" t="s">
        <v>11</v>
      </c>
      <c r="L17" s="28"/>
      <c r="M17" s="29" t="str">
        <f>Scheids!$D$10</f>
        <v>Ruud Bakas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Springwijs G1</v>
      </c>
      <c r="F18" s="25"/>
      <c r="G18" s="23"/>
      <c r="H18" s="25" t="str">
        <f>$A$41</f>
        <v>Horizon G1</v>
      </c>
      <c r="I18" s="26"/>
      <c r="J18" s="22"/>
      <c r="K18" s="27" t="s">
        <v>11</v>
      </c>
      <c r="L18" s="28"/>
      <c r="M18" s="29" t="str">
        <f>Scheids!$D$10</f>
        <v>Ruud Bakas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Rembrandt G1</v>
      </c>
      <c r="F19" s="25"/>
      <c r="G19" s="23" t="s">
        <v>11</v>
      </c>
      <c r="H19" s="25" t="str">
        <f>$A$42</f>
        <v>Maria G1</v>
      </c>
      <c r="I19" s="26"/>
      <c r="J19" s="22"/>
      <c r="K19" s="27" t="s">
        <v>11</v>
      </c>
      <c r="L19" s="28"/>
      <c r="M19" s="29" t="str">
        <f>Scheids!$D$10</f>
        <v>Ruud Bakas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/>
      <c r="K20" s="27" t="s">
        <v>11</v>
      </c>
      <c r="L20" s="28"/>
      <c r="M20" s="29" t="str">
        <f>Scheids!$F$10</f>
        <v>Michael Koster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Horizon G1</v>
      </c>
      <c r="F21" s="25"/>
      <c r="G21" s="23" t="s">
        <v>11</v>
      </c>
      <c r="H21" s="25" t="str">
        <f>$A$47</f>
        <v>Cornelis G1</v>
      </c>
      <c r="I21" s="26"/>
      <c r="J21" s="22"/>
      <c r="K21" s="27" t="s">
        <v>11</v>
      </c>
      <c r="L21" s="28"/>
      <c r="M21" s="29" t="str">
        <f>Scheids!$F$10</f>
        <v>Michael Koster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Mozaïek G1</v>
      </c>
      <c r="F22" s="25"/>
      <c r="G22" s="23"/>
      <c r="H22" s="25" t="str">
        <f>$A$48</f>
        <v>Springwijs G1</v>
      </c>
      <c r="I22" s="26"/>
      <c r="J22" s="22"/>
      <c r="K22" s="27" t="s">
        <v>11</v>
      </c>
      <c r="L22" s="28"/>
      <c r="M22" s="29" t="str">
        <f>Scheids!$F$10</f>
        <v>Michael Koster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Horizon G1</v>
      </c>
      <c r="F23" s="25"/>
      <c r="G23" s="23" t="s">
        <v>11</v>
      </c>
      <c r="H23" s="25" t="str">
        <f>$A$43</f>
        <v>Gabriël G1</v>
      </c>
      <c r="I23" s="26"/>
      <c r="J23" s="22"/>
      <c r="K23" s="27" t="s">
        <v>11</v>
      </c>
      <c r="L23" s="28"/>
      <c r="M23" s="29" t="str">
        <f>Scheids!$D$10</f>
        <v>Ruud Bakas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Mozaïek G1</v>
      </c>
      <c r="F24" s="25"/>
      <c r="G24" s="23" t="s">
        <v>11</v>
      </c>
      <c r="H24" s="25" t="str">
        <f>$A$44</f>
        <v>Rembrandt G1</v>
      </c>
      <c r="I24" s="26"/>
      <c r="J24" s="22"/>
      <c r="K24" s="27" t="s">
        <v>11</v>
      </c>
      <c r="L24" s="28"/>
      <c r="M24" s="29" t="str">
        <f>Scheids!$D$10</f>
        <v>Ruud Bakas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G1</v>
      </c>
      <c r="F25" s="25"/>
      <c r="G25" s="23" t="s">
        <v>11</v>
      </c>
      <c r="H25" s="25" t="str">
        <f>$A$47</f>
        <v>Cornelis G1</v>
      </c>
      <c r="I25" s="26"/>
      <c r="J25" s="22"/>
      <c r="K25" s="27" t="s">
        <v>11</v>
      </c>
      <c r="L25" s="28"/>
      <c r="M25" s="29" t="str">
        <f>Scheids!$D$10</f>
        <v>Ruud Bakas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Horizon G2</v>
      </c>
      <c r="F26" s="25"/>
      <c r="G26" s="23"/>
      <c r="H26" s="25" t="str">
        <f>$A$48</f>
        <v>Springwijs G1</v>
      </c>
      <c r="I26" s="26"/>
      <c r="J26" s="22"/>
      <c r="K26" s="27" t="s">
        <v>11</v>
      </c>
      <c r="L26" s="28"/>
      <c r="M26" s="29" t="str">
        <f>Scheids!$F$10</f>
        <v>Michael Koster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G1</v>
      </c>
      <c r="F27" s="25"/>
      <c r="G27" s="23" t="s">
        <v>11</v>
      </c>
      <c r="H27" s="25" t="str">
        <f>$A$46</f>
        <v>Mozaïek G1</v>
      </c>
      <c r="I27" s="26"/>
      <c r="J27" s="22"/>
      <c r="K27" s="27" t="s">
        <v>11</v>
      </c>
      <c r="L27" s="28"/>
      <c r="M27" s="29" t="str">
        <f>Scheids!$F$10</f>
        <v>Michael Koster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G1</v>
      </c>
      <c r="F28" s="25"/>
      <c r="G28" s="23"/>
      <c r="H28" s="25" t="str">
        <f>$A$48</f>
        <v>Springwijs G1</v>
      </c>
      <c r="I28" s="26"/>
      <c r="J28" s="22"/>
      <c r="K28" s="27" t="s">
        <v>11</v>
      </c>
      <c r="L28" s="28"/>
      <c r="M28" s="29" t="str">
        <f>Scheids!$F$10</f>
        <v>Michael Koster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Rembrandt G1</v>
      </c>
      <c r="F29" s="25"/>
      <c r="G29" s="23" t="s">
        <v>11</v>
      </c>
      <c r="H29" s="25" t="str">
        <f>$A$41</f>
        <v>Horizon G1</v>
      </c>
      <c r="I29" s="26"/>
      <c r="J29" s="22"/>
      <c r="K29" s="27" t="s">
        <v>11</v>
      </c>
      <c r="L29" s="28"/>
      <c r="M29" s="29" t="str">
        <f>Scheids!$D$10</f>
        <v>Ruud Bakas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Cornelis G1</v>
      </c>
      <c r="F30" s="25"/>
      <c r="G30" s="23" t="s">
        <v>11</v>
      </c>
      <c r="H30" s="25" t="str">
        <f>$A$45</f>
        <v>Horizon G2</v>
      </c>
      <c r="I30" s="26"/>
      <c r="J30" s="22"/>
      <c r="K30" s="27" t="s">
        <v>11</v>
      </c>
      <c r="L30" s="28"/>
      <c r="M30" s="29" t="str">
        <f>Scheids!$D$10</f>
        <v>Ruud Bakas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Springwijs G1</v>
      </c>
      <c r="F31" s="25"/>
      <c r="G31" s="23"/>
      <c r="H31" s="25" t="str">
        <f>$A$44</f>
        <v>Rembrandt G1</v>
      </c>
      <c r="I31" s="26"/>
      <c r="J31" s="22"/>
      <c r="K31" s="27" t="s">
        <v>11</v>
      </c>
      <c r="L31" s="28"/>
      <c r="M31" s="29" t="str">
        <f>Scheids!$D$10</f>
        <v>Ruud Bakas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G1</v>
      </c>
      <c r="F32" s="25"/>
      <c r="G32" s="23" t="s">
        <v>11</v>
      </c>
      <c r="H32" s="25" t="str">
        <f>$A$47</f>
        <v>Cornelis G1</v>
      </c>
      <c r="I32" s="26"/>
      <c r="J32" s="22"/>
      <c r="K32" s="27" t="s">
        <v>11</v>
      </c>
      <c r="L32" s="28"/>
      <c r="M32" s="29" t="str">
        <f>Scheids!$F$10</f>
        <v>Michael Koster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G1</v>
      </c>
      <c r="F33" s="25"/>
      <c r="G33" s="23" t="s">
        <v>11</v>
      </c>
      <c r="H33" s="25" t="str">
        <f>$A$46</f>
        <v>Mozaïek G1</v>
      </c>
      <c r="I33" s="26"/>
      <c r="J33" s="22"/>
      <c r="K33" s="27" t="s">
        <v>11</v>
      </c>
      <c r="L33" s="28"/>
      <c r="M33" s="29" t="str">
        <f>Scheids!$F$10</f>
        <v>Michael Koster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Horizon G1</v>
      </c>
      <c r="F34" s="25"/>
      <c r="G34" s="23" t="s">
        <v>11</v>
      </c>
      <c r="H34" s="25" t="str">
        <f>$A$45</f>
        <v>Horizon G2</v>
      </c>
      <c r="I34" s="26"/>
      <c r="J34" s="22"/>
      <c r="K34" s="27" t="s">
        <v>11</v>
      </c>
      <c r="L34" s="28"/>
      <c r="M34" s="29" t="str">
        <f>Scheids!$F$10</f>
        <v>Michael Koster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Springwijs G1</v>
      </c>
      <c r="F35" s="25"/>
      <c r="G35" s="23"/>
      <c r="H35" s="25" t="str">
        <f>$A$43</f>
        <v>Gabriël G1</v>
      </c>
      <c r="I35" s="26"/>
      <c r="J35" s="22"/>
      <c r="K35" s="27" t="s">
        <v>11</v>
      </c>
      <c r="L35" s="28"/>
      <c r="M35" s="29" t="str">
        <f>Scheids!$D$10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Mozaïek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Scheids!$D$10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Horizon G2</v>
      </c>
      <c r="F37" s="25"/>
      <c r="G37" s="23" t="s">
        <v>11</v>
      </c>
      <c r="H37" s="25" t="str">
        <f>$A$42</f>
        <v>Maria G1</v>
      </c>
      <c r="I37" s="26"/>
      <c r="J37" s="22"/>
      <c r="K37" s="27" t="s">
        <v>11</v>
      </c>
      <c r="L37" s="28"/>
      <c r="M37" s="29" t="str">
        <f>Scheids!$F$10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Cornelis G1</v>
      </c>
      <c r="F38" s="36"/>
      <c r="G38" s="34" t="s">
        <v>11</v>
      </c>
      <c r="H38" s="36" t="str">
        <f>$A$44</f>
        <v>Rembrandt G1</v>
      </c>
      <c r="I38" s="37"/>
      <c r="J38" s="33"/>
      <c r="K38" s="38" t="s">
        <v>11</v>
      </c>
      <c r="L38" s="39"/>
      <c r="M38" s="120" t="str">
        <f>Scheids!$F$10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Scholen!$J$10</f>
        <v>Horizon G1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3</v>
      </c>
      <c r="V41" s="85">
        <f>L11+J18+L21+L23+J29+L34+J36</f>
        <v>0</v>
      </c>
      <c r="W41" s="85">
        <f>Q11+R18+Q21+Q23+R29+Q34+R36</f>
        <v>1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Scholen!$J$11</f>
        <v>Maria G1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7</v>
      </c>
      <c r="W42" s="85">
        <f>R11+Q15+R19+Q25+Q28+Q33+R37</f>
        <v>4</v>
      </c>
      <c r="X42" s="93">
        <f t="shared" si="1"/>
        <v>5</v>
      </c>
    </row>
    <row r="43" spans="1:24" ht="18.75" customHeight="1" x14ac:dyDescent="0.3">
      <c r="A43" s="145" t="str">
        <f>Scholen!$J$12</f>
        <v>Gabriël G1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2</v>
      </c>
      <c r="R43" s="85">
        <f t="shared" si="2"/>
        <v>2</v>
      </c>
      <c r="S43" s="85">
        <f t="shared" si="3"/>
        <v>0</v>
      </c>
      <c r="T43" s="85">
        <f t="shared" si="4"/>
        <v>0</v>
      </c>
      <c r="U43" s="85">
        <f>J12+L15+J20+L23+J27+J32+L35</f>
        <v>7</v>
      </c>
      <c r="V43" s="85">
        <f>L12+J15+L20+J23+L27+L32+J35</f>
        <v>0</v>
      </c>
      <c r="W43" s="85">
        <f>Q12+R15+Q20+R23+Q27+Q32+R35</f>
        <v>3</v>
      </c>
      <c r="X43" s="93">
        <f t="shared" si="1"/>
        <v>1</v>
      </c>
    </row>
    <row r="44" spans="1:24" ht="18.75" customHeight="1" x14ac:dyDescent="0.3">
      <c r="A44" s="152" t="str">
        <f>Scholen!$J$13</f>
        <v>Rembrandt G1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2</v>
      </c>
      <c r="R44" s="85">
        <f t="shared" si="2"/>
        <v>0</v>
      </c>
      <c r="S44" s="85">
        <f t="shared" si="3"/>
        <v>2</v>
      </c>
      <c r="T44" s="85">
        <f t="shared" si="4"/>
        <v>0</v>
      </c>
      <c r="U44" s="85">
        <f>L12+J16+J19+L24+J29+L31+L38</f>
        <v>0</v>
      </c>
      <c r="V44" s="85">
        <f>J12+L16+L19+J24+L29+J31+J38</f>
        <v>5</v>
      </c>
      <c r="W44" s="85">
        <f>R12+Q16+Q19+R24+Q29+R31+R38</f>
        <v>3</v>
      </c>
      <c r="X44" s="93">
        <f t="shared" si="1"/>
        <v>5</v>
      </c>
    </row>
    <row r="45" spans="1:24" ht="18.75" customHeight="1" x14ac:dyDescent="0.3">
      <c r="A45" s="145" t="str">
        <f>Scholen!$J$14</f>
        <v>Horizon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2</v>
      </c>
      <c r="R45" s="85">
        <f t="shared" si="2"/>
        <v>2</v>
      </c>
      <c r="S45" s="85">
        <f t="shared" si="3"/>
        <v>0</v>
      </c>
      <c r="T45" s="85">
        <f t="shared" si="4"/>
        <v>0</v>
      </c>
      <c r="U45" s="85">
        <f>J13+L16+L20+J26+L30+L34+J37</f>
        <v>3</v>
      </c>
      <c r="V45" s="85">
        <f>L13+J16+J20+L26+J30+J34+L37</f>
        <v>0</v>
      </c>
      <c r="W45" s="85">
        <f>Q13+R16+R20+Q26+R30+R34+Q37</f>
        <v>2</v>
      </c>
      <c r="X45" s="93">
        <f t="shared" si="1"/>
        <v>1</v>
      </c>
    </row>
    <row r="46" spans="1:24" ht="18.75" customHeight="1" x14ac:dyDescent="0.3">
      <c r="A46" s="145" t="str">
        <f>Scholen!$J$15</f>
        <v>Mozaïek G1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1</v>
      </c>
      <c r="X46" s="93">
        <f t="shared" si="1"/>
        <v>5</v>
      </c>
    </row>
    <row r="47" spans="1:24" ht="18.75" customHeight="1" x14ac:dyDescent="0.3">
      <c r="A47" s="145" t="str">
        <f>IF(Scholen!$J$16&lt;&gt;"",Scholen!$J$16,"")</f>
        <v>Cornelis G1</v>
      </c>
      <c r="B47" s="146"/>
      <c r="C47" s="146"/>
      <c r="D47" s="147"/>
      <c r="E47" s="159">
        <f>IF(AND($J$14&lt;&gt;"",$L$14&lt;&gt;""),IF($J$14&gt;$L$14,3,IF($J$14=$L$14,1,0)),"")</f>
        <v>0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1</v>
      </c>
      <c r="R47" s="85">
        <f t="shared" si="2"/>
        <v>0</v>
      </c>
      <c r="S47" s="85">
        <f t="shared" si="3"/>
        <v>1</v>
      </c>
      <c r="T47" s="85">
        <f t="shared" si="4"/>
        <v>0</v>
      </c>
      <c r="U47" s="85">
        <f>J14+L17+L21+L25+J30+L32+J38</f>
        <v>0</v>
      </c>
      <c r="V47" s="85">
        <f>L14+J17+J21+J25+L30+J32+L38</f>
        <v>1</v>
      </c>
      <c r="W47" s="85">
        <f>Q14+R17+R21+R25+Q30+R32+Q38</f>
        <v>2</v>
      </c>
      <c r="X47" s="93">
        <f t="shared" si="1"/>
        <v>5</v>
      </c>
    </row>
    <row r="48" spans="1:24" ht="18.75" customHeight="1" x14ac:dyDescent="0.3">
      <c r="A48" s="145" t="str">
        <f>IF(Scholen!$J$17&lt;&gt;"",Scholen!$J$17,"")</f>
        <v>Springwijs G1</v>
      </c>
      <c r="B48" s="146"/>
      <c r="C48" s="146"/>
      <c r="D48" s="147"/>
      <c r="E48" s="156">
        <f>IF(AND($J$14&lt;&gt;"",$L$14&lt;&gt;""),IF($J$14&lt;$L$14,3,IF($J$14=$L$14,1,0)),"")</f>
        <v>3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3</v>
      </c>
      <c r="Q48" s="85">
        <f t="shared" si="0"/>
        <v>1</v>
      </c>
      <c r="R48" s="85">
        <f t="shared" si="2"/>
        <v>1</v>
      </c>
      <c r="S48" s="85">
        <f t="shared" si="3"/>
        <v>0</v>
      </c>
      <c r="T48" s="85">
        <f t="shared" si="4"/>
        <v>0</v>
      </c>
      <c r="U48" s="85">
        <f>L14+J18+L22+L26+L28+J31+J35</f>
        <v>1</v>
      </c>
      <c r="V48" s="85">
        <f>J14+L18+J22+J26+J28+L31+L35</f>
        <v>0</v>
      </c>
      <c r="W48" s="85">
        <f>+R14+Q18+R22+R26+R28+Q31+Q35</f>
        <v>2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Scholen!$L$8</f>
        <v>Gemengd</v>
      </c>
      <c r="F8" s="130"/>
      <c r="G8" s="130"/>
      <c r="H8" s="131" t="s">
        <v>21</v>
      </c>
      <c r="I8" s="132" t="s">
        <v>29</v>
      </c>
      <c r="J8" s="130" t="s">
        <v>25</v>
      </c>
      <c r="K8" s="246">
        <f>Scholen!$M$7</f>
        <v>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G1</v>
      </c>
      <c r="F11" s="134"/>
      <c r="G11" s="135" t="s">
        <v>11</v>
      </c>
      <c r="H11" s="134" t="str">
        <f>$A$42</f>
        <v>Horizon G3</v>
      </c>
      <c r="I11" s="17"/>
      <c r="J11" s="16">
        <v>1</v>
      </c>
      <c r="K11" s="95" t="s">
        <v>11</v>
      </c>
      <c r="L11" s="18">
        <v>0</v>
      </c>
      <c r="M11" s="19" t="str">
        <f>Scheids!$D$11</f>
        <v>Dennis vd Geest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G2</v>
      </c>
      <c r="F12" s="25"/>
      <c r="G12" s="23" t="s">
        <v>11</v>
      </c>
      <c r="H12" s="25" t="str">
        <f>$A$44</f>
        <v>Gabriël G2</v>
      </c>
      <c r="I12" s="26"/>
      <c r="J12" s="22">
        <v>2</v>
      </c>
      <c r="K12" s="27" t="s">
        <v>11</v>
      </c>
      <c r="L12" s="28">
        <v>0</v>
      </c>
      <c r="M12" s="29" t="str">
        <f>Scheids!$D$11</f>
        <v>Dennis vd Geest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Springwijs G2</v>
      </c>
      <c r="F13" s="25"/>
      <c r="G13" s="23" t="s">
        <v>11</v>
      </c>
      <c r="H13" s="25" t="str">
        <f>$A$46</f>
        <v>Horizon G4</v>
      </c>
      <c r="I13" s="26"/>
      <c r="J13" s="22">
        <v>1</v>
      </c>
      <c r="K13" s="27" t="s">
        <v>11</v>
      </c>
      <c r="L13" s="28">
        <v>0</v>
      </c>
      <c r="M13" s="29" t="str">
        <f>Scheids!$D$11</f>
        <v>Dennis vd Geest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Mozaïek G2</v>
      </c>
      <c r="F14" s="25"/>
      <c r="G14" s="23"/>
      <c r="H14" s="25" t="str">
        <f>$A$48</f>
        <v>Cornelis G2</v>
      </c>
      <c r="I14" s="26"/>
      <c r="J14" s="22">
        <v>3</v>
      </c>
      <c r="K14" s="27" t="s">
        <v>11</v>
      </c>
      <c r="L14" s="28">
        <v>1</v>
      </c>
      <c r="M14" s="29" t="str">
        <f>Scheids!$F$11</f>
        <v>Marcel de Letter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Horizon G3</v>
      </c>
      <c r="F15" s="25"/>
      <c r="G15" s="23" t="s">
        <v>11</v>
      </c>
      <c r="H15" s="25" t="str">
        <f>$A$43</f>
        <v>Maria G2</v>
      </c>
      <c r="I15" s="26"/>
      <c r="J15" s="22">
        <v>0</v>
      </c>
      <c r="K15" s="27" t="s">
        <v>11</v>
      </c>
      <c r="L15" s="28">
        <v>3</v>
      </c>
      <c r="M15" s="29" t="str">
        <f>Scheids!$F$11</f>
        <v>Marcel de Letter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G2</v>
      </c>
      <c r="F16" s="25"/>
      <c r="G16" s="23" t="s">
        <v>11</v>
      </c>
      <c r="H16" s="25" t="str">
        <f>$A$45</f>
        <v>Springwijs G2</v>
      </c>
      <c r="I16" s="26"/>
      <c r="J16" s="22">
        <v>1</v>
      </c>
      <c r="K16" s="27" t="s">
        <v>11</v>
      </c>
      <c r="L16" s="28">
        <v>2</v>
      </c>
      <c r="M16" s="29" t="str">
        <f>Scheids!$F$11</f>
        <v>Marcel de Letter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Horizon G4</v>
      </c>
      <c r="F17" s="25"/>
      <c r="G17" s="23" t="s">
        <v>11</v>
      </c>
      <c r="H17" s="25" t="str">
        <f>$A$47</f>
        <v>Mozaïek G2</v>
      </c>
      <c r="I17" s="26"/>
      <c r="J17" s="22"/>
      <c r="K17" s="27" t="s">
        <v>11</v>
      </c>
      <c r="L17" s="28"/>
      <c r="M17" s="29" t="str">
        <f>Scheids!$D$11</f>
        <v>Dennis vd Geest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Cornelis G2</v>
      </c>
      <c r="F18" s="25"/>
      <c r="G18" s="23"/>
      <c r="H18" s="25" t="str">
        <f>$A$41</f>
        <v>DSV G1</v>
      </c>
      <c r="I18" s="26"/>
      <c r="J18" s="22"/>
      <c r="K18" s="27" t="s">
        <v>11</v>
      </c>
      <c r="L18" s="28"/>
      <c r="M18" s="29" t="str">
        <f>Scheids!$D$11</f>
        <v>Dennis vd Geest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G2</v>
      </c>
      <c r="F19" s="25"/>
      <c r="G19" s="23" t="s">
        <v>11</v>
      </c>
      <c r="H19" s="25" t="str">
        <f>$A$42</f>
        <v>Horizon G3</v>
      </c>
      <c r="I19" s="26"/>
      <c r="J19" s="22"/>
      <c r="K19" s="27" t="s">
        <v>11</v>
      </c>
      <c r="L19" s="28"/>
      <c r="M19" s="29" t="str">
        <f>Scheids!$D$11</f>
        <v>Dennis vd Geest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G2</v>
      </c>
      <c r="F20" s="25"/>
      <c r="G20" s="23" t="s">
        <v>11</v>
      </c>
      <c r="H20" s="25" t="str">
        <f>$A$45</f>
        <v>Springwijs G2</v>
      </c>
      <c r="I20" s="26"/>
      <c r="J20" s="22"/>
      <c r="K20" s="27" t="s">
        <v>11</v>
      </c>
      <c r="L20" s="28"/>
      <c r="M20" s="29" t="str">
        <f>Scheids!$F$11</f>
        <v>Marcel de Letter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G1</v>
      </c>
      <c r="F21" s="25"/>
      <c r="G21" s="23" t="s">
        <v>11</v>
      </c>
      <c r="H21" s="25" t="str">
        <f>$A$47</f>
        <v>Mozaïek G2</v>
      </c>
      <c r="I21" s="26"/>
      <c r="J21" s="22"/>
      <c r="K21" s="27" t="s">
        <v>11</v>
      </c>
      <c r="L21" s="28"/>
      <c r="M21" s="29" t="str">
        <f>Scheids!$F$11</f>
        <v>Marcel de Letter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Horizon G4</v>
      </c>
      <c r="F22" s="25"/>
      <c r="G22" s="23"/>
      <c r="H22" s="25" t="str">
        <f>$A$48</f>
        <v>Cornelis G2</v>
      </c>
      <c r="I22" s="26"/>
      <c r="J22" s="22"/>
      <c r="K22" s="27" t="s">
        <v>11</v>
      </c>
      <c r="L22" s="28"/>
      <c r="M22" s="29" t="str">
        <f>Scheids!$F$11</f>
        <v>Marcel de Letter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G1</v>
      </c>
      <c r="F23" s="25"/>
      <c r="G23" s="23" t="s">
        <v>11</v>
      </c>
      <c r="H23" s="25" t="str">
        <f>$A$43</f>
        <v>Maria G2</v>
      </c>
      <c r="I23" s="26"/>
      <c r="J23" s="22"/>
      <c r="K23" s="27" t="s">
        <v>11</v>
      </c>
      <c r="L23" s="28"/>
      <c r="M23" s="29" t="str">
        <f>Scheids!$D$11</f>
        <v>Dennis vd Geest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Horizon G4</v>
      </c>
      <c r="F24" s="25"/>
      <c r="G24" s="23" t="s">
        <v>11</v>
      </c>
      <c r="H24" s="25" t="str">
        <f>$A$44</f>
        <v>Gabriël G2</v>
      </c>
      <c r="I24" s="26"/>
      <c r="J24" s="22"/>
      <c r="K24" s="27" t="s">
        <v>11</v>
      </c>
      <c r="L24" s="28"/>
      <c r="M24" s="29" t="str">
        <f>Scheids!$D$11</f>
        <v>Dennis vd Geest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Horizon G3</v>
      </c>
      <c r="F25" s="25"/>
      <c r="G25" s="23" t="s">
        <v>11</v>
      </c>
      <c r="H25" s="25" t="str">
        <f>$A$47</f>
        <v>Mozaïek G2</v>
      </c>
      <c r="I25" s="26"/>
      <c r="J25" s="22"/>
      <c r="K25" s="27" t="s">
        <v>11</v>
      </c>
      <c r="L25" s="28"/>
      <c r="M25" s="29" t="str">
        <f>Scheids!$D$11</f>
        <v>Dennis vd Geest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Springwijs G2</v>
      </c>
      <c r="F26" s="25"/>
      <c r="G26" s="23"/>
      <c r="H26" s="25" t="str">
        <f>$A$48</f>
        <v>Cornelis G2</v>
      </c>
      <c r="I26" s="26"/>
      <c r="J26" s="22"/>
      <c r="K26" s="27" t="s">
        <v>11</v>
      </c>
      <c r="L26" s="28"/>
      <c r="M26" s="29" t="str">
        <f>Scheids!$F$11</f>
        <v>Marcel de Letter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G2</v>
      </c>
      <c r="F27" s="25"/>
      <c r="G27" s="23" t="s">
        <v>11</v>
      </c>
      <c r="H27" s="25" t="str">
        <f>$A$46</f>
        <v>Horizon G4</v>
      </c>
      <c r="I27" s="26"/>
      <c r="J27" s="22"/>
      <c r="K27" s="27" t="s">
        <v>11</v>
      </c>
      <c r="L27" s="28"/>
      <c r="M27" s="29" t="str">
        <f>Scheids!$F$11</f>
        <v>Marcel de Letter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Horizon G3</v>
      </c>
      <c r="F28" s="25"/>
      <c r="G28" s="23"/>
      <c r="H28" s="25" t="str">
        <f>$A$48</f>
        <v>Cornelis G2</v>
      </c>
      <c r="I28" s="26"/>
      <c r="J28" s="22"/>
      <c r="K28" s="27" t="s">
        <v>11</v>
      </c>
      <c r="L28" s="28"/>
      <c r="M28" s="29" t="str">
        <f>Scheids!$F$11</f>
        <v>Marcel de Letter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G2</v>
      </c>
      <c r="F29" s="25"/>
      <c r="G29" s="23" t="s">
        <v>11</v>
      </c>
      <c r="H29" s="25" t="str">
        <f>$A$41</f>
        <v>DSV G1</v>
      </c>
      <c r="I29" s="26"/>
      <c r="J29" s="22"/>
      <c r="K29" s="27" t="s">
        <v>11</v>
      </c>
      <c r="L29" s="28"/>
      <c r="M29" s="29" t="str">
        <f>Scheids!$D$11</f>
        <v>Dennis vd Geest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G2</v>
      </c>
      <c r="F30" s="25"/>
      <c r="G30" s="23" t="s">
        <v>11</v>
      </c>
      <c r="H30" s="25" t="str">
        <f>$A$45</f>
        <v>Springwijs G2</v>
      </c>
      <c r="I30" s="26"/>
      <c r="J30" s="22"/>
      <c r="K30" s="27" t="s">
        <v>11</v>
      </c>
      <c r="L30" s="28"/>
      <c r="M30" s="29" t="str">
        <f>Scheids!$D$11</f>
        <v>Dennis vd Geest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Cornelis G2</v>
      </c>
      <c r="F31" s="25"/>
      <c r="G31" s="23"/>
      <c r="H31" s="25" t="str">
        <f>$A$44</f>
        <v>Gabriël G2</v>
      </c>
      <c r="I31" s="26"/>
      <c r="J31" s="22"/>
      <c r="K31" s="27" t="s">
        <v>11</v>
      </c>
      <c r="L31" s="28"/>
      <c r="M31" s="29" t="str">
        <f>Scheids!$D$11</f>
        <v>Dennis vd Geest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G2</v>
      </c>
      <c r="F32" s="25"/>
      <c r="G32" s="23" t="s">
        <v>11</v>
      </c>
      <c r="H32" s="25" t="str">
        <f>$A$47</f>
        <v>Mozaïek G2</v>
      </c>
      <c r="I32" s="26"/>
      <c r="J32" s="22"/>
      <c r="K32" s="27" t="s">
        <v>11</v>
      </c>
      <c r="L32" s="28"/>
      <c r="M32" s="29" t="str">
        <f>Scheids!$F$11</f>
        <v>Marcel de Letter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Horizon G3</v>
      </c>
      <c r="F33" s="25"/>
      <c r="G33" s="23" t="s">
        <v>11</v>
      </c>
      <c r="H33" s="25" t="str">
        <f>$A$46</f>
        <v>Horizon G4</v>
      </c>
      <c r="I33" s="26"/>
      <c r="J33" s="22"/>
      <c r="K33" s="27" t="s">
        <v>11</v>
      </c>
      <c r="L33" s="28"/>
      <c r="M33" s="29" t="str">
        <f>Scheids!$F$11</f>
        <v>Marcel de Letter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G1</v>
      </c>
      <c r="F34" s="25"/>
      <c r="G34" s="23" t="s">
        <v>11</v>
      </c>
      <c r="H34" s="25" t="str">
        <f>$A$45</f>
        <v>Springwijs G2</v>
      </c>
      <c r="I34" s="26"/>
      <c r="J34" s="22"/>
      <c r="K34" s="27" t="s">
        <v>11</v>
      </c>
      <c r="L34" s="28"/>
      <c r="M34" s="29" t="str">
        <f>Scheids!$F$11</f>
        <v>Marcel de Letter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Cornelis G2</v>
      </c>
      <c r="F35" s="25"/>
      <c r="G35" s="23"/>
      <c r="H35" s="25" t="str">
        <f>$A$43</f>
        <v>Maria G2</v>
      </c>
      <c r="I35" s="26"/>
      <c r="J35" s="22"/>
      <c r="K35" s="27" t="s">
        <v>11</v>
      </c>
      <c r="L35" s="28"/>
      <c r="M35" s="29" t="str">
        <f>Scheids!$D$11</f>
        <v>Dennis vd Geest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Horizon G4</v>
      </c>
      <c r="F36" s="25"/>
      <c r="G36" s="23" t="s">
        <v>11</v>
      </c>
      <c r="H36" s="25" t="str">
        <f>$A$41</f>
        <v>DSV G1</v>
      </c>
      <c r="I36" s="26"/>
      <c r="J36" s="22"/>
      <c r="K36" s="27" t="s">
        <v>11</v>
      </c>
      <c r="L36" s="28"/>
      <c r="M36" s="29" t="str">
        <f>Scheids!$D$11</f>
        <v>Dennis vd Geest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Springwijs G2</v>
      </c>
      <c r="F37" s="25"/>
      <c r="G37" s="23" t="s">
        <v>11</v>
      </c>
      <c r="H37" s="25" t="str">
        <f>$A$42</f>
        <v>Horizon G3</v>
      </c>
      <c r="I37" s="26"/>
      <c r="J37" s="22"/>
      <c r="K37" s="27" t="s">
        <v>11</v>
      </c>
      <c r="L37" s="28"/>
      <c r="M37" s="29" t="str">
        <f>Scheids!$F$11</f>
        <v>Marcel de Letter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G2</v>
      </c>
      <c r="F38" s="36"/>
      <c r="G38" s="34" t="s">
        <v>11</v>
      </c>
      <c r="H38" s="36" t="str">
        <f>$A$44</f>
        <v>Gabriël G2</v>
      </c>
      <c r="I38" s="37"/>
      <c r="J38" s="33"/>
      <c r="K38" s="38" t="s">
        <v>11</v>
      </c>
      <c r="L38" s="39"/>
      <c r="M38" s="120" t="str">
        <f>Scheids!$F$11</f>
        <v>Marcel de Letter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Scholen!$L$10</f>
        <v>DSV G1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1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Scholen!$L$11</f>
        <v>Horizon G3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4</v>
      </c>
      <c r="W42" s="85">
        <f>R11+Q15+R19+Q25+Q28+Q33+R37</f>
        <v>4</v>
      </c>
      <c r="X42" s="93">
        <f t="shared" si="1"/>
        <v>5</v>
      </c>
    </row>
    <row r="43" spans="1:24" ht="18.75" customHeight="1" x14ac:dyDescent="0.3">
      <c r="A43" s="145" t="str">
        <f>Scholen!$L$12</f>
        <v>Maria G2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2</v>
      </c>
      <c r="R43" s="85">
        <f t="shared" si="2"/>
        <v>2</v>
      </c>
      <c r="S43" s="85">
        <f t="shared" si="3"/>
        <v>0</v>
      </c>
      <c r="T43" s="85">
        <f t="shared" si="4"/>
        <v>0</v>
      </c>
      <c r="U43" s="85">
        <f>J12+L15+J20+L23+J27+J32+L35</f>
        <v>5</v>
      </c>
      <c r="V43" s="85">
        <f>L12+J15+L20+J23+L27+L32+J35</f>
        <v>0</v>
      </c>
      <c r="W43" s="85">
        <f>Q12+R15+Q20+R23+Q27+Q32+R35</f>
        <v>4</v>
      </c>
      <c r="X43" s="93">
        <f t="shared" si="1"/>
        <v>1</v>
      </c>
    </row>
    <row r="44" spans="1:24" ht="18.75" customHeight="1" x14ac:dyDescent="0.3">
      <c r="A44" s="152" t="str">
        <f>Scholen!$L$13</f>
        <v>Gabriël G2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2</v>
      </c>
      <c r="R44" s="85">
        <f t="shared" si="2"/>
        <v>0</v>
      </c>
      <c r="S44" s="85">
        <f t="shared" si="3"/>
        <v>2</v>
      </c>
      <c r="T44" s="85">
        <f t="shared" si="4"/>
        <v>0</v>
      </c>
      <c r="U44" s="85">
        <f>L12+J16+J19+L24+J29+L31+L38</f>
        <v>1</v>
      </c>
      <c r="V44" s="85">
        <f>J12+L16+L19+J24+L29+J31+J38</f>
        <v>4</v>
      </c>
      <c r="W44" s="85">
        <f>R12+Q16+Q19+R24+Q29+R31+R38</f>
        <v>4</v>
      </c>
      <c r="X44" s="93">
        <f t="shared" si="1"/>
        <v>5</v>
      </c>
    </row>
    <row r="45" spans="1:24" ht="18.75" customHeight="1" x14ac:dyDescent="0.3">
      <c r="A45" s="145" t="str">
        <f>Scholen!$L$14</f>
        <v>Springwijs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2</v>
      </c>
      <c r="R45" s="85">
        <f t="shared" si="2"/>
        <v>2</v>
      </c>
      <c r="S45" s="85">
        <f t="shared" si="3"/>
        <v>0</v>
      </c>
      <c r="T45" s="85">
        <f t="shared" si="4"/>
        <v>0</v>
      </c>
      <c r="U45" s="85">
        <f>J13+L16+L20+J26+L30+L34+J37</f>
        <v>3</v>
      </c>
      <c r="V45" s="85">
        <f>L13+J16+J20+L26+J30+J34+L37</f>
        <v>1</v>
      </c>
      <c r="W45" s="85">
        <f>Q13+R16+R20+Q26+R30+R34+Q37</f>
        <v>4</v>
      </c>
      <c r="X45" s="93">
        <f t="shared" si="1"/>
        <v>1</v>
      </c>
    </row>
    <row r="46" spans="1:24" ht="18.75" customHeight="1" x14ac:dyDescent="0.3">
      <c r="A46" s="145" t="str">
        <f>Scholen!$L$15</f>
        <v>Horizon G4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2</v>
      </c>
      <c r="X46" s="93">
        <f t="shared" si="1"/>
        <v>5</v>
      </c>
    </row>
    <row r="47" spans="1:24" ht="18.75" customHeight="1" x14ac:dyDescent="0.3">
      <c r="A47" s="145" t="str">
        <f>IF(Scholen!$L$16&lt;&gt;"",Scholen!$L$16,"")</f>
        <v>Mozaïek G2</v>
      </c>
      <c r="B47" s="146"/>
      <c r="C47" s="146"/>
      <c r="D47" s="147"/>
      <c r="E47" s="159">
        <f>IF(AND($J$14&lt;&gt;"",$L$14&lt;&gt;""),IF($J$14&gt;$L$14,3,IF($J$14=$L$14,1,0)),"")</f>
        <v>3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1</v>
      </c>
      <c r="R47" s="85">
        <f t="shared" si="2"/>
        <v>1</v>
      </c>
      <c r="S47" s="85">
        <f t="shared" si="3"/>
        <v>0</v>
      </c>
      <c r="T47" s="85">
        <f t="shared" si="4"/>
        <v>0</v>
      </c>
      <c r="U47" s="85">
        <f>J14+L17+L21+L25+J30+L32+J38</f>
        <v>3</v>
      </c>
      <c r="V47" s="85">
        <f>L14+J17+J21+J25+L30+J32+L38</f>
        <v>1</v>
      </c>
      <c r="W47" s="85">
        <f>Q14+R17+R21+R25+Q30+R32+Q38</f>
        <v>2</v>
      </c>
      <c r="X47" s="93">
        <f t="shared" si="1"/>
        <v>3</v>
      </c>
    </row>
    <row r="48" spans="1:24" ht="18.75" customHeight="1" x14ac:dyDescent="0.3">
      <c r="A48" s="145" t="str">
        <f>IF(Scholen!$L$17&lt;&gt;"",Scholen!$L$17,"")</f>
        <v>Cornelis G2</v>
      </c>
      <c r="B48" s="146"/>
      <c r="C48" s="146"/>
      <c r="D48" s="147"/>
      <c r="E48" s="156">
        <f>IF(AND($J$14&lt;&gt;"",$L$14&lt;&gt;""),IF($J$14&lt;$L$14,3,IF($J$14=$L$14,1,0)),"")</f>
        <v>0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0</v>
      </c>
      <c r="Q48" s="85">
        <f t="shared" si="0"/>
        <v>1</v>
      </c>
      <c r="R48" s="85">
        <f t="shared" si="2"/>
        <v>0</v>
      </c>
      <c r="S48" s="85">
        <f t="shared" si="3"/>
        <v>1</v>
      </c>
      <c r="T48" s="85">
        <f t="shared" si="4"/>
        <v>0</v>
      </c>
      <c r="U48" s="85">
        <f>L14+J18+L22+L26+L28+J31+J35</f>
        <v>1</v>
      </c>
      <c r="V48" s="85">
        <f>J14+L18+J22+J26+J28+L31+L35</f>
        <v>3</v>
      </c>
      <c r="W48" s="85">
        <f>+R14+Q18+R22+R26+R28+Q31+Q35</f>
        <v>2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Scholen!$N$8</f>
        <v>Gemengd</v>
      </c>
      <c r="F8" s="130"/>
      <c r="G8" s="130"/>
      <c r="H8" s="131" t="s">
        <v>21</v>
      </c>
      <c r="I8" s="132" t="s">
        <v>30</v>
      </c>
      <c r="J8" s="130" t="s">
        <v>25</v>
      </c>
      <c r="K8" s="246">
        <f>Scholen!$O$7</f>
        <v>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Schatkaart G1</v>
      </c>
      <c r="F11" s="134"/>
      <c r="G11" s="135" t="s">
        <v>11</v>
      </c>
      <c r="H11" s="134" t="str">
        <f>$A$42</f>
        <v>Freinet G1</v>
      </c>
      <c r="I11" s="17"/>
      <c r="J11" s="16">
        <v>0</v>
      </c>
      <c r="K11" s="95" t="s">
        <v>11</v>
      </c>
      <c r="L11" s="18">
        <v>0</v>
      </c>
      <c r="M11" s="19" t="str">
        <f>Scheids!$D$12</f>
        <v>Gerard Zoet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Horizon G5</v>
      </c>
      <c r="F12" s="25"/>
      <c r="G12" s="23" t="s">
        <v>11</v>
      </c>
      <c r="H12" s="25" t="str">
        <f>$A$44</f>
        <v>Maria G3</v>
      </c>
      <c r="I12" s="26"/>
      <c r="J12" s="22">
        <v>2</v>
      </c>
      <c r="K12" s="27" t="s">
        <v>11</v>
      </c>
      <c r="L12" s="28">
        <v>1</v>
      </c>
      <c r="M12" s="29" t="str">
        <f>Scheids!$D$12</f>
        <v>Gerard Zoet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BMS G1</v>
      </c>
      <c r="F13" s="25"/>
      <c r="G13" s="23" t="s">
        <v>11</v>
      </c>
      <c r="H13" s="25" t="str">
        <f>$A$46</f>
        <v>Eglantier-V G1</v>
      </c>
      <c r="I13" s="26"/>
      <c r="J13" s="22">
        <v>0</v>
      </c>
      <c r="K13" s="27" t="s">
        <v>11</v>
      </c>
      <c r="L13" s="28">
        <v>2</v>
      </c>
      <c r="M13" s="29" t="str">
        <f>Scheids!$D$12</f>
        <v>Gerard Zoet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Park G1</v>
      </c>
      <c r="F14" s="25"/>
      <c r="G14" s="23"/>
      <c r="H14" s="25" t="str">
        <f>$A$48</f>
        <v>Maan G1</v>
      </c>
      <c r="I14" s="26"/>
      <c r="J14" s="22">
        <v>2</v>
      </c>
      <c r="K14" s="27" t="s">
        <v>11</v>
      </c>
      <c r="L14" s="28">
        <v>2</v>
      </c>
      <c r="M14" s="29" t="str">
        <f>Scheids!$F$12</f>
        <v>Cock Smink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G1</v>
      </c>
      <c r="F15" s="25"/>
      <c r="G15" s="23" t="s">
        <v>11</v>
      </c>
      <c r="H15" s="25" t="str">
        <f>$A$43</f>
        <v>Horizon G5</v>
      </c>
      <c r="I15" s="26"/>
      <c r="J15" s="22">
        <v>0</v>
      </c>
      <c r="K15" s="27" t="s">
        <v>11</v>
      </c>
      <c r="L15" s="28">
        <v>4</v>
      </c>
      <c r="M15" s="29" t="str">
        <f>Scheids!$F$12</f>
        <v>Cock Smink</v>
      </c>
      <c r="N15" s="30"/>
      <c r="O15" s="31"/>
      <c r="Q15" s="93">
        <v>1</v>
      </c>
      <c r="R15" s="93">
        <v>0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G3</v>
      </c>
      <c r="F16" s="25"/>
      <c r="G16" s="23" t="s">
        <v>11</v>
      </c>
      <c r="H16" s="25" t="str">
        <f>$A$45</f>
        <v>BMS G1</v>
      </c>
      <c r="I16" s="26"/>
      <c r="J16" s="22">
        <v>0</v>
      </c>
      <c r="K16" s="27" t="s">
        <v>11</v>
      </c>
      <c r="L16" s="28">
        <v>2</v>
      </c>
      <c r="M16" s="29" t="str">
        <f>Scheids!$F$12</f>
        <v>Cock Smink</v>
      </c>
      <c r="N16" s="30"/>
      <c r="O16" s="31"/>
      <c r="Q16" s="93">
        <v>0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Eglantier-V G1</v>
      </c>
      <c r="F17" s="25"/>
      <c r="G17" s="23" t="s">
        <v>11</v>
      </c>
      <c r="H17" s="25" t="str">
        <f>$A$47</f>
        <v>Park G1</v>
      </c>
      <c r="I17" s="26"/>
      <c r="J17" s="22"/>
      <c r="K17" s="27" t="s">
        <v>11</v>
      </c>
      <c r="L17" s="28"/>
      <c r="M17" s="29" t="str">
        <f>Scheids!$D$12</f>
        <v>Gerard Zoet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Maan G1</v>
      </c>
      <c r="F18" s="25"/>
      <c r="G18" s="23"/>
      <c r="H18" s="25" t="str">
        <f>$A$41</f>
        <v>Schatkaart G1</v>
      </c>
      <c r="I18" s="26"/>
      <c r="J18" s="22"/>
      <c r="K18" s="27" t="s">
        <v>11</v>
      </c>
      <c r="L18" s="28"/>
      <c r="M18" s="29" t="str">
        <f>Scheids!$D$12</f>
        <v>Gerard Zoet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G3</v>
      </c>
      <c r="F19" s="25"/>
      <c r="G19" s="23" t="s">
        <v>11</v>
      </c>
      <c r="H19" s="25" t="str">
        <f>$A$42</f>
        <v>Freinet G1</v>
      </c>
      <c r="I19" s="26"/>
      <c r="J19" s="22"/>
      <c r="K19" s="27" t="s">
        <v>11</v>
      </c>
      <c r="L19" s="28"/>
      <c r="M19" s="29" t="str">
        <f>Scheids!$D$12</f>
        <v>Gerard Zoet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Horizon G5</v>
      </c>
      <c r="F20" s="25"/>
      <c r="G20" s="23" t="s">
        <v>11</v>
      </c>
      <c r="H20" s="25" t="str">
        <f>$A$45</f>
        <v>BMS G1</v>
      </c>
      <c r="I20" s="26"/>
      <c r="J20" s="22"/>
      <c r="K20" s="27" t="s">
        <v>11</v>
      </c>
      <c r="L20" s="28"/>
      <c r="M20" s="29" t="str">
        <f>Scheids!$F$12</f>
        <v>Cock Smink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Schatkaart G1</v>
      </c>
      <c r="F21" s="25"/>
      <c r="G21" s="23" t="s">
        <v>11</v>
      </c>
      <c r="H21" s="25" t="str">
        <f>$A$47</f>
        <v>Park G1</v>
      </c>
      <c r="I21" s="26"/>
      <c r="J21" s="22"/>
      <c r="K21" s="27" t="s">
        <v>11</v>
      </c>
      <c r="L21" s="28"/>
      <c r="M21" s="29" t="str">
        <f>Scheids!$F$12</f>
        <v>Cock Smink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Eglantier-V G1</v>
      </c>
      <c r="F22" s="25"/>
      <c r="G22" s="23"/>
      <c r="H22" s="25" t="str">
        <f>$A$48</f>
        <v>Maan G1</v>
      </c>
      <c r="I22" s="26"/>
      <c r="J22" s="22"/>
      <c r="K22" s="27" t="s">
        <v>11</v>
      </c>
      <c r="L22" s="28"/>
      <c r="M22" s="29" t="str">
        <f>Scheids!$F$12</f>
        <v>Cock Smink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Schatkaart G1</v>
      </c>
      <c r="F23" s="25"/>
      <c r="G23" s="23" t="s">
        <v>11</v>
      </c>
      <c r="H23" s="25" t="str">
        <f>$A$43</f>
        <v>Horizon G5</v>
      </c>
      <c r="I23" s="26"/>
      <c r="J23" s="22"/>
      <c r="K23" s="27" t="s">
        <v>11</v>
      </c>
      <c r="L23" s="28"/>
      <c r="M23" s="29" t="str">
        <f>Scheids!$D$12</f>
        <v>Gerard Zoet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Eglantier-V G1</v>
      </c>
      <c r="F24" s="25"/>
      <c r="G24" s="23" t="s">
        <v>11</v>
      </c>
      <c r="H24" s="25" t="str">
        <f>$A$44</f>
        <v>Maria G3</v>
      </c>
      <c r="I24" s="26"/>
      <c r="J24" s="22"/>
      <c r="K24" s="27" t="s">
        <v>11</v>
      </c>
      <c r="L24" s="28"/>
      <c r="M24" s="29" t="str">
        <f>Scheids!$D$12</f>
        <v>Gerard Zoet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G1</v>
      </c>
      <c r="F25" s="25"/>
      <c r="G25" s="23" t="s">
        <v>11</v>
      </c>
      <c r="H25" s="25" t="str">
        <f>$A$47</f>
        <v>Park G1</v>
      </c>
      <c r="I25" s="26"/>
      <c r="J25" s="22"/>
      <c r="K25" s="27" t="s">
        <v>11</v>
      </c>
      <c r="L25" s="28"/>
      <c r="M25" s="29" t="str">
        <f>Scheids!$D$12</f>
        <v>Gerard Zoet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BMS G1</v>
      </c>
      <c r="F26" s="25"/>
      <c r="G26" s="23"/>
      <c r="H26" s="25" t="str">
        <f>$A$48</f>
        <v>Maan G1</v>
      </c>
      <c r="I26" s="26"/>
      <c r="J26" s="22"/>
      <c r="K26" s="27" t="s">
        <v>11</v>
      </c>
      <c r="L26" s="28"/>
      <c r="M26" s="29" t="str">
        <f>Scheids!$F$12</f>
        <v>Cock Smink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Horizon G5</v>
      </c>
      <c r="F27" s="25"/>
      <c r="G27" s="23" t="s">
        <v>11</v>
      </c>
      <c r="H27" s="25" t="str">
        <f>$A$46</f>
        <v>Eglantier-V G1</v>
      </c>
      <c r="I27" s="26"/>
      <c r="J27" s="22"/>
      <c r="K27" s="27" t="s">
        <v>11</v>
      </c>
      <c r="L27" s="28"/>
      <c r="M27" s="29" t="str">
        <f>Scheids!$F$12</f>
        <v>Cock Smink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G1</v>
      </c>
      <c r="F28" s="25"/>
      <c r="G28" s="23"/>
      <c r="H28" s="25" t="str">
        <f>$A$48</f>
        <v>Maan G1</v>
      </c>
      <c r="I28" s="26"/>
      <c r="J28" s="22"/>
      <c r="K28" s="27" t="s">
        <v>11</v>
      </c>
      <c r="L28" s="28"/>
      <c r="M28" s="29" t="str">
        <f>Scheids!$F$12</f>
        <v>Cock Smink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G3</v>
      </c>
      <c r="F29" s="25"/>
      <c r="G29" s="23" t="s">
        <v>11</v>
      </c>
      <c r="H29" s="25" t="str">
        <f>$A$41</f>
        <v>Schatkaart G1</v>
      </c>
      <c r="I29" s="26"/>
      <c r="J29" s="22"/>
      <c r="K29" s="27" t="s">
        <v>11</v>
      </c>
      <c r="L29" s="28"/>
      <c r="M29" s="29" t="str">
        <f>Scheids!$D$12</f>
        <v>Gerard Zoet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Park G1</v>
      </c>
      <c r="F30" s="25"/>
      <c r="G30" s="23" t="s">
        <v>11</v>
      </c>
      <c r="H30" s="25" t="str">
        <f>$A$45</f>
        <v>BMS G1</v>
      </c>
      <c r="I30" s="26"/>
      <c r="J30" s="22"/>
      <c r="K30" s="27" t="s">
        <v>11</v>
      </c>
      <c r="L30" s="28"/>
      <c r="M30" s="29" t="str">
        <f>Scheids!$D$12</f>
        <v>Gerard Zoet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Maan G1</v>
      </c>
      <c r="F31" s="25"/>
      <c r="G31" s="23"/>
      <c r="H31" s="25" t="str">
        <f>$A$44</f>
        <v>Maria G3</v>
      </c>
      <c r="I31" s="26"/>
      <c r="J31" s="22"/>
      <c r="K31" s="27" t="s">
        <v>11</v>
      </c>
      <c r="L31" s="28"/>
      <c r="M31" s="29" t="str">
        <f>Scheids!$D$12</f>
        <v>Gerard Zoet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Horizon G5</v>
      </c>
      <c r="F32" s="25"/>
      <c r="G32" s="23" t="s">
        <v>11</v>
      </c>
      <c r="H32" s="25" t="str">
        <f>$A$47</f>
        <v>Park G1</v>
      </c>
      <c r="I32" s="26"/>
      <c r="J32" s="22"/>
      <c r="K32" s="27" t="s">
        <v>11</v>
      </c>
      <c r="L32" s="28"/>
      <c r="M32" s="29" t="str">
        <f>Scheids!$F$12</f>
        <v>Cock Smink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G1</v>
      </c>
      <c r="F33" s="25"/>
      <c r="G33" s="23" t="s">
        <v>11</v>
      </c>
      <c r="H33" s="25" t="str">
        <f>$A$46</f>
        <v>Eglantier-V G1</v>
      </c>
      <c r="I33" s="26"/>
      <c r="J33" s="22"/>
      <c r="K33" s="27" t="s">
        <v>11</v>
      </c>
      <c r="L33" s="28"/>
      <c r="M33" s="29" t="str">
        <f>Scheids!$F$12</f>
        <v>Cock Smink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Schatkaart G1</v>
      </c>
      <c r="F34" s="25"/>
      <c r="G34" s="23" t="s">
        <v>11</v>
      </c>
      <c r="H34" s="25" t="str">
        <f>$A$45</f>
        <v>BMS G1</v>
      </c>
      <c r="I34" s="26"/>
      <c r="J34" s="22"/>
      <c r="K34" s="27" t="s">
        <v>11</v>
      </c>
      <c r="L34" s="28"/>
      <c r="M34" s="29" t="str">
        <f>Scheids!$F$12</f>
        <v>Cock Smink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Maan G1</v>
      </c>
      <c r="F35" s="25"/>
      <c r="G35" s="23"/>
      <c r="H35" s="25" t="str">
        <f>$A$43</f>
        <v>Horizon G5</v>
      </c>
      <c r="I35" s="26"/>
      <c r="J35" s="22"/>
      <c r="K35" s="27" t="s">
        <v>11</v>
      </c>
      <c r="L35" s="28"/>
      <c r="M35" s="29" t="str">
        <f>Scheids!$D$12</f>
        <v>Gerard Zoet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Eglantier-V G1</v>
      </c>
      <c r="F36" s="25"/>
      <c r="G36" s="23" t="s">
        <v>11</v>
      </c>
      <c r="H36" s="25" t="str">
        <f>$A$41</f>
        <v>Schatkaart G1</v>
      </c>
      <c r="I36" s="26"/>
      <c r="J36" s="22"/>
      <c r="K36" s="27" t="s">
        <v>11</v>
      </c>
      <c r="L36" s="28"/>
      <c r="M36" s="29" t="str">
        <f>Scheids!$D$12</f>
        <v>Gerard Zoet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BMS G1</v>
      </c>
      <c r="F37" s="25"/>
      <c r="G37" s="23" t="s">
        <v>11</v>
      </c>
      <c r="H37" s="25" t="str">
        <f>$A$42</f>
        <v>Freinet G1</v>
      </c>
      <c r="I37" s="26"/>
      <c r="J37" s="22"/>
      <c r="K37" s="27" t="s">
        <v>11</v>
      </c>
      <c r="L37" s="28"/>
      <c r="M37" s="29" t="str">
        <f>Scheids!$F$12</f>
        <v>Cock Smink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Park G1</v>
      </c>
      <c r="F38" s="36"/>
      <c r="G38" s="34" t="s">
        <v>11</v>
      </c>
      <c r="H38" s="36" t="str">
        <f>$A$44</f>
        <v>Maria G3</v>
      </c>
      <c r="I38" s="37"/>
      <c r="J38" s="33"/>
      <c r="K38" s="38" t="s">
        <v>11</v>
      </c>
      <c r="L38" s="39"/>
      <c r="M38" s="120" t="str">
        <f>Scheids!$F$12</f>
        <v>Cock Smink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Scholen!$N$10</f>
        <v>Schatkaart G1</v>
      </c>
      <c r="B41" s="146"/>
      <c r="C41" s="146"/>
      <c r="D41" s="147"/>
      <c r="E41" s="148">
        <f>IF(AND($J$11&lt;&gt;"", $L$11&lt;&gt;""),IF($J$11&gt;$L$11,3,IF($J$11=$L$11,1,0)),"")</f>
        <v>1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Scholen!$N$11</f>
        <v>Freinet G1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4</v>
      </c>
      <c r="W42" s="85">
        <f>R11+Q15+R19+Q25+Q28+Q33+R37</f>
        <v>3</v>
      </c>
      <c r="X42" s="93">
        <f t="shared" si="1"/>
        <v>4</v>
      </c>
    </row>
    <row r="43" spans="1:24" ht="18.75" customHeight="1" x14ac:dyDescent="0.3">
      <c r="A43" s="145" t="str">
        <f>Scholen!$N$12</f>
        <v>Horizon G5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2</v>
      </c>
      <c r="R43" s="85">
        <f t="shared" si="2"/>
        <v>2</v>
      </c>
      <c r="S43" s="85">
        <f t="shared" si="3"/>
        <v>0</v>
      </c>
      <c r="T43" s="85">
        <f t="shared" si="4"/>
        <v>0</v>
      </c>
      <c r="U43" s="85">
        <f>J12+L15+J20+L23+J27+J32+L35</f>
        <v>6</v>
      </c>
      <c r="V43" s="85">
        <f>L12+J15+L20+J23+L27+L32+J35</f>
        <v>1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Scholen!$N$13</f>
        <v>Maria G3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2</v>
      </c>
      <c r="R44" s="85">
        <f t="shared" si="2"/>
        <v>0</v>
      </c>
      <c r="S44" s="85">
        <f t="shared" si="3"/>
        <v>2</v>
      </c>
      <c r="T44" s="85">
        <f t="shared" si="4"/>
        <v>0</v>
      </c>
      <c r="U44" s="85">
        <f>L12+J16+J19+L24+J29+L31+L38</f>
        <v>1</v>
      </c>
      <c r="V44" s="85">
        <f>J12+L16+L19+J24+L29+J31+J38</f>
        <v>4</v>
      </c>
      <c r="W44" s="85">
        <f>R12+Q16+Q19+R24+Q29+R31+R38</f>
        <v>2</v>
      </c>
      <c r="X44" s="93">
        <f t="shared" si="1"/>
        <v>8</v>
      </c>
    </row>
    <row r="45" spans="1:24" ht="18.75" customHeight="1" x14ac:dyDescent="0.3">
      <c r="A45" s="145" t="str">
        <f>Scholen!$N$14</f>
        <v>BMS G1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2</v>
      </c>
      <c r="V45" s="85">
        <f>L13+J16+J20+L26+J30+J34+L37</f>
        <v>2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5" t="str">
        <f>Scholen!$N$15</f>
        <v>Eglantier-V G1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2</v>
      </c>
      <c r="V46" s="85">
        <f>J13+L17+L22+L24+J27+J33+L36</f>
        <v>0</v>
      </c>
      <c r="W46" s="85">
        <f>R13+Q17+Q22+Q24+R27+R33+Q36</f>
        <v>2</v>
      </c>
      <c r="X46" s="93">
        <f t="shared" si="1"/>
        <v>2</v>
      </c>
    </row>
    <row r="47" spans="1:24" ht="18.75" customHeight="1" x14ac:dyDescent="0.3">
      <c r="A47" s="145" t="str">
        <f>IF(Scholen!$N$16&lt;&gt;"",Scholen!$N$16,"")</f>
        <v>Park G1</v>
      </c>
      <c r="B47" s="146"/>
      <c r="C47" s="146"/>
      <c r="D47" s="147"/>
      <c r="E47" s="159">
        <f>IF(AND($J$14&lt;&gt;"",$L$14&lt;&gt;""),IF($J$14&gt;$L$14,3,IF($J$14=$L$14,1,0)),"")</f>
        <v>1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1</v>
      </c>
      <c r="R47" s="85">
        <f t="shared" si="2"/>
        <v>0</v>
      </c>
      <c r="S47" s="85">
        <f t="shared" si="3"/>
        <v>0</v>
      </c>
      <c r="T47" s="85">
        <f t="shared" si="4"/>
        <v>1</v>
      </c>
      <c r="U47" s="85">
        <f>J14+L17+L21+L25+J30+L32+J38</f>
        <v>2</v>
      </c>
      <c r="V47" s="85">
        <f>L14+J17+J21+J25+L30+J32+L38</f>
        <v>2</v>
      </c>
      <c r="W47" s="85">
        <f>Q14+R17+R21+R25+Q30+R32+Q38</f>
        <v>1</v>
      </c>
      <c r="X47" s="93">
        <f t="shared" si="1"/>
        <v>4</v>
      </c>
    </row>
    <row r="48" spans="1:24" ht="18.75" customHeight="1" x14ac:dyDescent="0.3">
      <c r="A48" s="145" t="str">
        <f>IF(Scholen!$N$17&lt;&gt;"",Scholen!$N$17,"")</f>
        <v>Maan G1</v>
      </c>
      <c r="B48" s="146"/>
      <c r="C48" s="146"/>
      <c r="D48" s="147"/>
      <c r="E48" s="156">
        <f>IF(AND($J$14&lt;&gt;"",$L$14&lt;&gt;""),IF($J$14&lt;$L$14,3,IF($J$14=$L$14,1,0)),"")</f>
        <v>1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1</v>
      </c>
      <c r="R48" s="85">
        <f t="shared" si="2"/>
        <v>0</v>
      </c>
      <c r="S48" s="85">
        <f t="shared" si="3"/>
        <v>0</v>
      </c>
      <c r="T48" s="85">
        <f t="shared" si="4"/>
        <v>1</v>
      </c>
      <c r="U48" s="85">
        <f>L14+J18+L22+L26+L28+J31+J35</f>
        <v>2</v>
      </c>
      <c r="V48" s="85">
        <f>J14+L18+J22+J26+J28+L31+L35</f>
        <v>2</v>
      </c>
      <c r="W48" s="85">
        <f>+R14+Q18+R22+R26+R28+Q31+Q35</f>
        <v>1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Scholen!$P$8</f>
        <v>Jongens</v>
      </c>
      <c r="F8" s="130"/>
      <c r="G8" s="130"/>
      <c r="H8" s="131" t="s">
        <v>21</v>
      </c>
      <c r="I8" s="132" t="s">
        <v>31</v>
      </c>
      <c r="J8" s="130" t="s">
        <v>25</v>
      </c>
      <c r="K8" s="246">
        <f>Scholen!$Q$7</f>
        <v>8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J1</v>
      </c>
      <c r="F11" s="134"/>
      <c r="G11" s="135" t="s">
        <v>11</v>
      </c>
      <c r="H11" s="134" t="str">
        <f>$A$42</f>
        <v>Freinet J1</v>
      </c>
      <c r="I11" s="17"/>
      <c r="J11" s="16">
        <v>3</v>
      </c>
      <c r="K11" s="95" t="s">
        <v>11</v>
      </c>
      <c r="L11" s="18">
        <v>0</v>
      </c>
      <c r="M11" s="19" t="str">
        <f>Scheids!$D$13</f>
        <v>John Kortekaas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J1</v>
      </c>
      <c r="F12" s="25"/>
      <c r="G12" s="23" t="s">
        <v>11</v>
      </c>
      <c r="H12" s="25" t="str">
        <f>$A$44</f>
        <v>Talent J1</v>
      </c>
      <c r="I12" s="26"/>
      <c r="J12" s="22">
        <v>0</v>
      </c>
      <c r="K12" s="27" t="s">
        <v>11</v>
      </c>
      <c r="L12" s="28">
        <v>1</v>
      </c>
      <c r="M12" s="29" t="str">
        <f>Scheids!$D$13</f>
        <v>John Kortekaas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J1</v>
      </c>
      <c r="F13" s="25"/>
      <c r="G13" s="23" t="s">
        <v>11</v>
      </c>
      <c r="H13" s="25" t="str">
        <f>$A$46</f>
        <v>Max J1</v>
      </c>
      <c r="I13" s="26"/>
      <c r="J13" s="22">
        <v>2</v>
      </c>
      <c r="K13" s="27" t="s">
        <v>11</v>
      </c>
      <c r="L13" s="28">
        <v>1</v>
      </c>
      <c r="M13" s="29" t="str">
        <f>Scheids!$D$13</f>
        <v>John Kortekaas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Waterhof J1</v>
      </c>
      <c r="F14" s="25"/>
      <c r="G14" s="23"/>
      <c r="H14" s="25" t="str">
        <f>$A$48</f>
        <v>Widar J1</v>
      </c>
      <c r="I14" s="26"/>
      <c r="J14" s="22">
        <v>1</v>
      </c>
      <c r="K14" s="27" t="s">
        <v>11</v>
      </c>
      <c r="L14" s="28">
        <v>0</v>
      </c>
      <c r="M14" s="29" t="str">
        <f>Scheids!$F$13</f>
        <v>Joyce Hupkes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J1</v>
      </c>
      <c r="F15" s="25"/>
      <c r="G15" s="23" t="s">
        <v>11</v>
      </c>
      <c r="H15" s="25" t="str">
        <f>$A$43</f>
        <v>Gabriël J1</v>
      </c>
      <c r="I15" s="26"/>
      <c r="J15" s="22">
        <v>0</v>
      </c>
      <c r="K15" s="27" t="s">
        <v>11</v>
      </c>
      <c r="L15" s="28">
        <v>0</v>
      </c>
      <c r="M15" s="29" t="str">
        <f>Scheids!$F$13</f>
        <v>Joyce Hupkes</v>
      </c>
      <c r="N15" s="30"/>
      <c r="O15" s="31"/>
      <c r="Q15" s="93">
        <v>2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J1</v>
      </c>
      <c r="F16" s="25"/>
      <c r="G16" s="23" t="s">
        <v>11</v>
      </c>
      <c r="H16" s="25" t="str">
        <f>$A$45</f>
        <v>Maan J1</v>
      </c>
      <c r="I16" s="26"/>
      <c r="J16" s="22">
        <v>1</v>
      </c>
      <c r="K16" s="27" t="s">
        <v>11</v>
      </c>
      <c r="L16" s="28">
        <v>0</v>
      </c>
      <c r="M16" s="29" t="str">
        <f>Scheids!$F$13</f>
        <v>Joyce Hupkes</v>
      </c>
      <c r="N16" s="30"/>
      <c r="O16" s="31"/>
      <c r="Q16" s="93">
        <v>2</v>
      </c>
      <c r="R16" s="93">
        <v>0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J1</v>
      </c>
      <c r="F17" s="25"/>
      <c r="G17" s="23" t="s">
        <v>11</v>
      </c>
      <c r="H17" s="25" t="str">
        <f>$A$47</f>
        <v>Waterhof J1</v>
      </c>
      <c r="I17" s="26"/>
      <c r="J17" s="22"/>
      <c r="K17" s="27" t="s">
        <v>11</v>
      </c>
      <c r="L17" s="28"/>
      <c r="M17" s="29" t="str">
        <f>Scheids!$D$13</f>
        <v>John Kortekaas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J1</v>
      </c>
      <c r="F18" s="25"/>
      <c r="G18" s="23"/>
      <c r="H18" s="25" t="str">
        <f>$A$41</f>
        <v>Maria J1</v>
      </c>
      <c r="I18" s="26"/>
      <c r="J18" s="22"/>
      <c r="K18" s="27" t="s">
        <v>11</v>
      </c>
      <c r="L18" s="28"/>
      <c r="M18" s="29" t="str">
        <f>Scheids!$D$13</f>
        <v>John Kortekaas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J1</v>
      </c>
      <c r="F19" s="25"/>
      <c r="G19" s="23" t="s">
        <v>11</v>
      </c>
      <c r="H19" s="25" t="str">
        <f>$A$42</f>
        <v>Freinet J1</v>
      </c>
      <c r="I19" s="26"/>
      <c r="J19" s="22"/>
      <c r="K19" s="27" t="s">
        <v>11</v>
      </c>
      <c r="L19" s="28"/>
      <c r="M19" s="29" t="str">
        <f>Scheids!$D$13</f>
        <v>John Kortekaas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J1</v>
      </c>
      <c r="F20" s="25"/>
      <c r="G20" s="23" t="s">
        <v>11</v>
      </c>
      <c r="H20" s="25" t="str">
        <f>$A$45</f>
        <v>Maan J1</v>
      </c>
      <c r="I20" s="26"/>
      <c r="J20" s="22"/>
      <c r="K20" s="27" t="s">
        <v>11</v>
      </c>
      <c r="L20" s="28"/>
      <c r="M20" s="29" t="str">
        <f>Scheids!$F$13</f>
        <v>Joyce Hupkes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J1</v>
      </c>
      <c r="F21" s="25"/>
      <c r="G21" s="23" t="s">
        <v>11</v>
      </c>
      <c r="H21" s="25" t="str">
        <f>$A$47</f>
        <v>Waterhof J1</v>
      </c>
      <c r="I21" s="26"/>
      <c r="J21" s="22"/>
      <c r="K21" s="27" t="s">
        <v>11</v>
      </c>
      <c r="L21" s="28"/>
      <c r="M21" s="29" t="str">
        <f>Scheids!$F$13</f>
        <v>Joyce Hupkes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J1</v>
      </c>
      <c r="F22" s="25"/>
      <c r="G22" s="23"/>
      <c r="H22" s="25" t="str">
        <f>$A$48</f>
        <v>Widar J1</v>
      </c>
      <c r="I22" s="26"/>
      <c r="J22" s="22"/>
      <c r="K22" s="27" t="s">
        <v>11</v>
      </c>
      <c r="L22" s="28"/>
      <c r="M22" s="29" t="str">
        <f>Scheids!$F$13</f>
        <v>Joyce Hupkes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J1</v>
      </c>
      <c r="F23" s="25"/>
      <c r="G23" s="23" t="s">
        <v>11</v>
      </c>
      <c r="H23" s="25" t="str">
        <f>$A$43</f>
        <v>Gabriël J1</v>
      </c>
      <c r="I23" s="26"/>
      <c r="J23" s="22"/>
      <c r="K23" s="27" t="s">
        <v>11</v>
      </c>
      <c r="L23" s="28"/>
      <c r="M23" s="29" t="str">
        <f>Scheids!$D$13</f>
        <v>John Kortekaas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J1</v>
      </c>
      <c r="F24" s="25"/>
      <c r="G24" s="23" t="s">
        <v>11</v>
      </c>
      <c r="H24" s="25" t="str">
        <f>$A$44</f>
        <v>Talent J1</v>
      </c>
      <c r="I24" s="26"/>
      <c r="J24" s="22"/>
      <c r="K24" s="27" t="s">
        <v>11</v>
      </c>
      <c r="L24" s="28"/>
      <c r="M24" s="29" t="str">
        <f>Scheids!$D$13</f>
        <v>John Kortekaas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J1</v>
      </c>
      <c r="F25" s="25"/>
      <c r="G25" s="23" t="s">
        <v>11</v>
      </c>
      <c r="H25" s="25" t="str">
        <f>$A$47</f>
        <v>Waterhof J1</v>
      </c>
      <c r="I25" s="26"/>
      <c r="J25" s="22"/>
      <c r="K25" s="27" t="s">
        <v>11</v>
      </c>
      <c r="L25" s="28"/>
      <c r="M25" s="29" t="str">
        <f>Scheids!$D$13</f>
        <v>John Kortekaas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J1</v>
      </c>
      <c r="F26" s="25"/>
      <c r="G26" s="23"/>
      <c r="H26" s="25" t="str">
        <f>$A$48</f>
        <v>Widar J1</v>
      </c>
      <c r="I26" s="26"/>
      <c r="J26" s="22"/>
      <c r="K26" s="27" t="s">
        <v>11</v>
      </c>
      <c r="L26" s="28"/>
      <c r="M26" s="29" t="str">
        <f>Scheids!$F$13</f>
        <v>Joyce Hupkes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J1</v>
      </c>
      <c r="F27" s="25"/>
      <c r="G27" s="23" t="s">
        <v>11</v>
      </c>
      <c r="H27" s="25" t="str">
        <f>$A$46</f>
        <v>Max J1</v>
      </c>
      <c r="I27" s="26"/>
      <c r="J27" s="22"/>
      <c r="K27" s="27" t="s">
        <v>11</v>
      </c>
      <c r="L27" s="28"/>
      <c r="M27" s="29" t="str">
        <f>Scheids!$F$13</f>
        <v>Joyce Hupkes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J1</v>
      </c>
      <c r="F28" s="25"/>
      <c r="G28" s="23"/>
      <c r="H28" s="25" t="str">
        <f>$A$48</f>
        <v>Widar J1</v>
      </c>
      <c r="I28" s="26"/>
      <c r="J28" s="22"/>
      <c r="K28" s="27" t="s">
        <v>11</v>
      </c>
      <c r="L28" s="28"/>
      <c r="M28" s="29" t="str">
        <f>Scheids!$F$13</f>
        <v>Joyce Hupkes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J1</v>
      </c>
      <c r="F29" s="25"/>
      <c r="G29" s="23" t="s">
        <v>11</v>
      </c>
      <c r="H29" s="25" t="str">
        <f>$A$41</f>
        <v>Maria J1</v>
      </c>
      <c r="I29" s="26"/>
      <c r="J29" s="22"/>
      <c r="K29" s="27" t="s">
        <v>11</v>
      </c>
      <c r="L29" s="28"/>
      <c r="M29" s="29" t="str">
        <f>Scheids!$D$13</f>
        <v>John Kortekaas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Waterhof J1</v>
      </c>
      <c r="F30" s="25"/>
      <c r="G30" s="23" t="s">
        <v>11</v>
      </c>
      <c r="H30" s="25" t="str">
        <f>$A$45</f>
        <v>Maan J1</v>
      </c>
      <c r="I30" s="26"/>
      <c r="J30" s="22"/>
      <c r="K30" s="27" t="s">
        <v>11</v>
      </c>
      <c r="L30" s="28"/>
      <c r="M30" s="29" t="str">
        <f>Scheids!$D$13</f>
        <v>John Kortekaas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J1</v>
      </c>
      <c r="F31" s="25"/>
      <c r="G31" s="23"/>
      <c r="H31" s="25" t="str">
        <f>$A$44</f>
        <v>Talent J1</v>
      </c>
      <c r="I31" s="26"/>
      <c r="J31" s="22"/>
      <c r="K31" s="27" t="s">
        <v>11</v>
      </c>
      <c r="L31" s="28"/>
      <c r="M31" s="29" t="str">
        <f>Scheids!$D$13</f>
        <v>John Kortekaas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J1</v>
      </c>
      <c r="F32" s="25"/>
      <c r="G32" s="23" t="s">
        <v>11</v>
      </c>
      <c r="H32" s="25" t="str">
        <f>$A$47</f>
        <v>Waterhof J1</v>
      </c>
      <c r="I32" s="26"/>
      <c r="J32" s="22"/>
      <c r="K32" s="27" t="s">
        <v>11</v>
      </c>
      <c r="L32" s="28"/>
      <c r="M32" s="29" t="str">
        <f>Scheids!$F$13</f>
        <v>Joyce Hupkes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J1</v>
      </c>
      <c r="F33" s="25"/>
      <c r="G33" s="23" t="s">
        <v>11</v>
      </c>
      <c r="H33" s="25" t="str">
        <f>$A$46</f>
        <v>Max J1</v>
      </c>
      <c r="I33" s="26"/>
      <c r="J33" s="22"/>
      <c r="K33" s="27" t="s">
        <v>11</v>
      </c>
      <c r="L33" s="28"/>
      <c r="M33" s="29" t="str">
        <f>Scheids!$F$13</f>
        <v>Joyce Hupkes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J1</v>
      </c>
      <c r="F34" s="25"/>
      <c r="G34" s="23" t="s">
        <v>11</v>
      </c>
      <c r="H34" s="25" t="str">
        <f>$A$45</f>
        <v>Maan J1</v>
      </c>
      <c r="I34" s="26"/>
      <c r="J34" s="22"/>
      <c r="K34" s="27" t="s">
        <v>11</v>
      </c>
      <c r="L34" s="28"/>
      <c r="M34" s="29" t="str">
        <f>Scheids!$F$13</f>
        <v>Joyce Hupkes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J1</v>
      </c>
      <c r="F35" s="25"/>
      <c r="G35" s="23"/>
      <c r="H35" s="25" t="str">
        <f>$A$43</f>
        <v>Gabriël J1</v>
      </c>
      <c r="I35" s="26"/>
      <c r="J35" s="22"/>
      <c r="K35" s="27" t="s">
        <v>11</v>
      </c>
      <c r="L35" s="28"/>
      <c r="M35" s="29" t="str">
        <f>Scheids!$D$13</f>
        <v>John Kortekaas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Scheids!$D$13</f>
        <v>John Kortekaas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J1</v>
      </c>
      <c r="F37" s="25"/>
      <c r="G37" s="23" t="s">
        <v>11</v>
      </c>
      <c r="H37" s="25" t="str">
        <f>$A$42</f>
        <v>Freinet J1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Waterhof J1</v>
      </c>
      <c r="F38" s="36"/>
      <c r="G38" s="34" t="s">
        <v>11</v>
      </c>
      <c r="H38" s="36" t="str">
        <f>$A$44</f>
        <v>Talent J1</v>
      </c>
      <c r="I38" s="37"/>
      <c r="J38" s="33"/>
      <c r="K38" s="38" t="s">
        <v>11</v>
      </c>
      <c r="L38" s="39"/>
      <c r="M38" s="120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Scholen!$P$10</f>
        <v>Maria J1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3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Scholen!$P$11</f>
        <v>Freinet J1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3</v>
      </c>
      <c r="W42" s="85">
        <f>R11+Q15+R19+Q25+Q28+Q33+R37</f>
        <v>4</v>
      </c>
      <c r="X42" s="93">
        <f t="shared" si="1"/>
        <v>5</v>
      </c>
    </row>
    <row r="43" spans="1:24" ht="18.75" customHeight="1" x14ac:dyDescent="0.3">
      <c r="A43" s="145" t="str">
        <f>Scholen!$P$12</f>
        <v>Gabriël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1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2</v>
      </c>
      <c r="R43" s="85">
        <f t="shared" si="2"/>
        <v>0</v>
      </c>
      <c r="S43" s="85">
        <f t="shared" si="3"/>
        <v>1</v>
      </c>
      <c r="T43" s="85">
        <f t="shared" si="4"/>
        <v>1</v>
      </c>
      <c r="U43" s="85">
        <f>J12+L15+J20+L23+J27+J32+L35</f>
        <v>0</v>
      </c>
      <c r="V43" s="85">
        <f>L12+J15+L20+J23+L27+L32+J35</f>
        <v>1</v>
      </c>
      <c r="W43" s="85">
        <f>Q12+R15+Q20+R23+Q27+Q32+R35</f>
        <v>3</v>
      </c>
      <c r="X43" s="93">
        <f t="shared" si="1"/>
        <v>5</v>
      </c>
    </row>
    <row r="44" spans="1:24" ht="18.75" customHeight="1" x14ac:dyDescent="0.3">
      <c r="A44" s="152" t="str">
        <f>Scholen!$P$13</f>
        <v>Talent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2</v>
      </c>
      <c r="R44" s="85">
        <f t="shared" si="2"/>
        <v>2</v>
      </c>
      <c r="S44" s="85">
        <f t="shared" si="3"/>
        <v>0</v>
      </c>
      <c r="T44" s="85">
        <f t="shared" si="4"/>
        <v>0</v>
      </c>
      <c r="U44" s="85">
        <f>L12+J16+J19+L24+J29+L31+L38</f>
        <v>2</v>
      </c>
      <c r="V44" s="85">
        <f>J12+L16+L19+J24+L29+J31+J38</f>
        <v>0</v>
      </c>
      <c r="W44" s="85">
        <f>R12+Q16+Q19+R24+Q29+R31+R38</f>
        <v>4</v>
      </c>
      <c r="X44" s="93">
        <f t="shared" si="1"/>
        <v>1</v>
      </c>
    </row>
    <row r="45" spans="1:24" ht="18.75" customHeight="1" x14ac:dyDescent="0.3">
      <c r="A45" s="145" t="str">
        <f>Scholen!$P$14</f>
        <v>Maan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2</v>
      </c>
      <c r="V45" s="85">
        <f>L13+J16+J20+L26+J30+J34+L37</f>
        <v>2</v>
      </c>
      <c r="W45" s="85">
        <f>Q13+R16+R20+Q26+R30+R34+Q37</f>
        <v>2</v>
      </c>
      <c r="X45" s="93">
        <f t="shared" si="1"/>
        <v>2</v>
      </c>
    </row>
    <row r="46" spans="1:24" ht="18.75" customHeight="1" x14ac:dyDescent="0.3">
      <c r="A46" s="145" t="str">
        <f>Scholen!$P$15</f>
        <v>Max J1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1</v>
      </c>
      <c r="V46" s="85">
        <f>J13+L17+L22+L24+J27+J33+L36</f>
        <v>2</v>
      </c>
      <c r="W46" s="85">
        <f>R13+Q17+Q22+Q24+R27+R33+Q36</f>
        <v>2</v>
      </c>
      <c r="X46" s="93">
        <f t="shared" si="1"/>
        <v>7</v>
      </c>
    </row>
    <row r="47" spans="1:24" ht="18.75" customHeight="1" x14ac:dyDescent="0.3">
      <c r="A47" s="145" t="str">
        <f>IF(Scholen!$P$16&lt;&gt;"",Scholen!$P$16,"")</f>
        <v>Waterhof J1</v>
      </c>
      <c r="B47" s="146"/>
      <c r="C47" s="146"/>
      <c r="D47" s="147"/>
      <c r="E47" s="159">
        <f>IF(AND($J$14&lt;&gt;"",$L$14&lt;&gt;""),IF($J$14&gt;$L$14,3,IF($J$14=$L$14,1,0)),"")</f>
        <v>3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1</v>
      </c>
      <c r="R47" s="85">
        <f t="shared" si="2"/>
        <v>1</v>
      </c>
      <c r="S47" s="85">
        <f t="shared" si="3"/>
        <v>0</v>
      </c>
      <c r="T47" s="85">
        <f t="shared" si="4"/>
        <v>0</v>
      </c>
      <c r="U47" s="85">
        <f>J14+L17+L21+L25+J30+L32+J38</f>
        <v>1</v>
      </c>
      <c r="V47" s="85">
        <f>L14+J17+J21+J25+L30+J32+L38</f>
        <v>0</v>
      </c>
      <c r="W47" s="85">
        <f>Q14+R17+R21+R25+Q30+R32+Q38</f>
        <v>2</v>
      </c>
      <c r="X47" s="93">
        <f t="shared" si="1"/>
        <v>2</v>
      </c>
    </row>
    <row r="48" spans="1:24" ht="18.75" customHeight="1" x14ac:dyDescent="0.3">
      <c r="A48" s="145" t="str">
        <f>IF(Scholen!$P$17&lt;&gt;"",Scholen!$P$17,"")</f>
        <v>Widar J1</v>
      </c>
      <c r="B48" s="146"/>
      <c r="C48" s="146"/>
      <c r="D48" s="147"/>
      <c r="E48" s="156">
        <f>IF(AND($J$14&lt;&gt;"",$L$14&lt;&gt;""),IF($J$14&lt;$L$14,3,IF($J$14=$L$14,1,0)),"")</f>
        <v>0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0</v>
      </c>
      <c r="Q48" s="85">
        <f t="shared" si="0"/>
        <v>1</v>
      </c>
      <c r="R48" s="85">
        <f t="shared" si="2"/>
        <v>0</v>
      </c>
      <c r="S48" s="85">
        <f t="shared" si="3"/>
        <v>1</v>
      </c>
      <c r="T48" s="85">
        <f t="shared" si="4"/>
        <v>0</v>
      </c>
      <c r="U48" s="85">
        <f>L14+J18+L22+L26+L28+J31+J35</f>
        <v>0</v>
      </c>
      <c r="V48" s="85">
        <f>J14+L18+J22+J26+J28+L31+L35</f>
        <v>1</v>
      </c>
      <c r="W48" s="85">
        <f>+R14+Q18+R22+R26+R28+Q31+Q35</f>
        <v>2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Scholen!$R$8</f>
        <v>Jongens</v>
      </c>
      <c r="F8" s="130"/>
      <c r="G8" s="130"/>
      <c r="H8" s="131" t="s">
        <v>21</v>
      </c>
      <c r="I8" s="132" t="s">
        <v>33</v>
      </c>
      <c r="J8" s="130" t="s">
        <v>25</v>
      </c>
      <c r="K8" s="246">
        <f>Scholen!$S$7</f>
        <v>9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Regenboog J1</v>
      </c>
      <c r="F11" s="134"/>
      <c r="G11" s="135" t="s">
        <v>11</v>
      </c>
      <c r="H11" s="134" t="str">
        <f>$A$42</f>
        <v>Maria J2</v>
      </c>
      <c r="I11" s="17"/>
      <c r="J11" s="16">
        <v>3</v>
      </c>
      <c r="K11" s="95" t="s">
        <v>11</v>
      </c>
      <c r="L11" s="18">
        <v>0</v>
      </c>
      <c r="M11" s="19" t="str">
        <f>Scheids!$D$14</f>
        <v>Ton Haanappel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Freinet J2</v>
      </c>
      <c r="F12" s="25"/>
      <c r="G12" s="23" t="s">
        <v>11</v>
      </c>
      <c r="H12" s="25" t="str">
        <f>$A$44</f>
        <v>Gabriël J2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Ton Haanappel</v>
      </c>
      <c r="N12" s="30"/>
      <c r="O12" s="31"/>
      <c r="Q12" s="93">
        <v>2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J2</v>
      </c>
      <c r="F13" s="25"/>
      <c r="G13" s="23" t="s">
        <v>11</v>
      </c>
      <c r="H13" s="25" t="str">
        <f>$A$46</f>
        <v>Maan J2</v>
      </c>
      <c r="I13" s="26"/>
      <c r="J13" s="22">
        <v>1</v>
      </c>
      <c r="K13" s="27" t="s">
        <v>11</v>
      </c>
      <c r="L13" s="28">
        <v>0</v>
      </c>
      <c r="M13" s="29" t="str">
        <f>Scheids!$D$14</f>
        <v>Ton Haanappel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Max J2</v>
      </c>
      <c r="F14" s="25"/>
      <c r="G14" s="23" t="s">
        <v>11</v>
      </c>
      <c r="H14" s="25" t="str">
        <f>$A$48</f>
        <v>Mozaïek J1</v>
      </c>
      <c r="I14" s="26"/>
      <c r="J14" s="22">
        <v>4</v>
      </c>
      <c r="K14" s="27" t="s">
        <v>11</v>
      </c>
      <c r="L14" s="28">
        <v>1</v>
      </c>
      <c r="M14" s="29" t="str">
        <f>Scheids!$F$14</f>
        <v>Marcel den Os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Freinet J2</v>
      </c>
      <c r="I15" s="26"/>
      <c r="J15" s="22">
        <v>0</v>
      </c>
      <c r="K15" s="27" t="s">
        <v>11</v>
      </c>
      <c r="L15" s="28">
        <v>1</v>
      </c>
      <c r="M15" s="29" t="str">
        <f>Scheids!$F$14</f>
        <v>Marcel den Os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J2</v>
      </c>
      <c r="F16" s="25"/>
      <c r="G16" s="23" t="s">
        <v>11</v>
      </c>
      <c r="H16" s="25" t="str">
        <f>$A$45</f>
        <v>Talent J2</v>
      </c>
      <c r="I16" s="26"/>
      <c r="J16" s="22">
        <v>2</v>
      </c>
      <c r="K16" s="27" t="s">
        <v>11</v>
      </c>
      <c r="L16" s="28">
        <v>0</v>
      </c>
      <c r="M16" s="29" t="str">
        <f>Scheids!$F$14</f>
        <v>Marcel den Os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J2</v>
      </c>
      <c r="F17" s="25"/>
      <c r="G17" s="23" t="s">
        <v>11</v>
      </c>
      <c r="H17" s="25" t="str">
        <f>$A$47</f>
        <v>Max J2</v>
      </c>
      <c r="I17" s="26"/>
      <c r="J17" s="22"/>
      <c r="K17" s="27" t="s">
        <v>11</v>
      </c>
      <c r="L17" s="28"/>
      <c r="M17" s="29" t="str">
        <f>Scheids!$D$14</f>
        <v>Ton Haanappel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Mozaïek J1</v>
      </c>
      <c r="F18" s="25"/>
      <c r="G18" s="23" t="s">
        <v>11</v>
      </c>
      <c r="H18" s="25" t="str">
        <f>$A$41</f>
        <v>Regenboog J1</v>
      </c>
      <c r="I18" s="26"/>
      <c r="J18" s="22"/>
      <c r="K18" s="27" t="s">
        <v>11</v>
      </c>
      <c r="L18" s="28"/>
      <c r="M18" s="29" t="str">
        <f>Scheids!$D$14</f>
        <v>Ton Haanappel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J2</v>
      </c>
      <c r="F19" s="25"/>
      <c r="G19" s="23" t="s">
        <v>11</v>
      </c>
      <c r="H19" s="25" t="str">
        <f>$A$42</f>
        <v>Maria J2</v>
      </c>
      <c r="I19" s="26"/>
      <c r="J19" s="22"/>
      <c r="K19" s="27" t="s">
        <v>11</v>
      </c>
      <c r="L19" s="28"/>
      <c r="M19" s="29" t="str">
        <f>Scheids!$D$14</f>
        <v>Ton Haanappel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Freinet J2</v>
      </c>
      <c r="F20" s="25"/>
      <c r="G20" s="23" t="s">
        <v>11</v>
      </c>
      <c r="H20" s="25" t="str">
        <f>$A$45</f>
        <v>Talent J2</v>
      </c>
      <c r="I20" s="26"/>
      <c r="J20" s="22"/>
      <c r="K20" s="27" t="s">
        <v>11</v>
      </c>
      <c r="L20" s="28"/>
      <c r="M20" s="29" t="str">
        <f>Scheids!$F$14</f>
        <v>Marcel den Os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Regenboog J1</v>
      </c>
      <c r="F21" s="25"/>
      <c r="G21" s="23" t="s">
        <v>11</v>
      </c>
      <c r="H21" s="25" t="str">
        <f>$A$47</f>
        <v>Max J2</v>
      </c>
      <c r="I21" s="26"/>
      <c r="J21" s="22"/>
      <c r="K21" s="27" t="s">
        <v>11</v>
      </c>
      <c r="L21" s="28"/>
      <c r="M21" s="29" t="str">
        <f>Scheids!$F$14</f>
        <v>Marcel den Os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Maan J2</v>
      </c>
      <c r="F22" s="25"/>
      <c r="G22" s="23" t="s">
        <v>11</v>
      </c>
      <c r="H22" s="25" t="str">
        <f>$A$48</f>
        <v>Mozaïek J1</v>
      </c>
      <c r="I22" s="26"/>
      <c r="J22" s="22"/>
      <c r="K22" s="27" t="s">
        <v>11</v>
      </c>
      <c r="L22" s="28"/>
      <c r="M22" s="29" t="str">
        <f>Scheids!$F$14</f>
        <v>Marcel den Os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Regenboog J1</v>
      </c>
      <c r="F23" s="25"/>
      <c r="G23" s="23" t="s">
        <v>11</v>
      </c>
      <c r="H23" s="25" t="str">
        <f>$A$43</f>
        <v>Freinet J2</v>
      </c>
      <c r="I23" s="26"/>
      <c r="J23" s="22"/>
      <c r="K23" s="27" t="s">
        <v>11</v>
      </c>
      <c r="L23" s="28"/>
      <c r="M23" s="29" t="str">
        <f>Scheids!$D$14</f>
        <v>Ton Haanappel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J2</v>
      </c>
      <c r="F24" s="25"/>
      <c r="G24" s="23" t="s">
        <v>11</v>
      </c>
      <c r="H24" s="25" t="str">
        <f>$A$44</f>
        <v>Gabriël J2</v>
      </c>
      <c r="I24" s="26"/>
      <c r="J24" s="22"/>
      <c r="K24" s="27" t="s">
        <v>11</v>
      </c>
      <c r="L24" s="28"/>
      <c r="M24" s="29" t="str">
        <f>Scheids!$D$14</f>
        <v>Ton Haanappel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Max J2</v>
      </c>
      <c r="I25" s="26"/>
      <c r="J25" s="22"/>
      <c r="K25" s="27" t="s">
        <v>11</v>
      </c>
      <c r="L25" s="28"/>
      <c r="M25" s="29" t="str">
        <f>Scheids!$D$14</f>
        <v>Ton Haanappel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Talent J2</v>
      </c>
      <c r="F26" s="25"/>
      <c r="G26" s="23" t="s">
        <v>11</v>
      </c>
      <c r="H26" s="25" t="str">
        <f>$A$48</f>
        <v>Mozaïek J1</v>
      </c>
      <c r="I26" s="26"/>
      <c r="J26" s="22"/>
      <c r="K26" s="27" t="s">
        <v>11</v>
      </c>
      <c r="L26" s="28"/>
      <c r="M26" s="29" t="str">
        <f>Scheids!$F$14</f>
        <v>Marcel den Os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Freinet J2</v>
      </c>
      <c r="F27" s="25"/>
      <c r="G27" s="23" t="s">
        <v>11</v>
      </c>
      <c r="H27" s="25" t="str">
        <f>$A$46</f>
        <v>Maan J2</v>
      </c>
      <c r="I27" s="26"/>
      <c r="J27" s="22"/>
      <c r="K27" s="27" t="s">
        <v>11</v>
      </c>
      <c r="L27" s="28"/>
      <c r="M27" s="29" t="str">
        <f>Scheids!$F$14</f>
        <v>Marcel den Os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Mozaïek J1</v>
      </c>
      <c r="I28" s="26"/>
      <c r="J28" s="22"/>
      <c r="K28" s="27" t="s">
        <v>11</v>
      </c>
      <c r="L28" s="28"/>
      <c r="M28" s="29" t="str">
        <f>Scheids!$F$14</f>
        <v>Marcel den Os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J2</v>
      </c>
      <c r="F29" s="25"/>
      <c r="G29" s="23" t="s">
        <v>11</v>
      </c>
      <c r="H29" s="25" t="str">
        <f>$A$41</f>
        <v>Regenboog J1</v>
      </c>
      <c r="I29" s="26"/>
      <c r="J29" s="22"/>
      <c r="K29" s="27" t="s">
        <v>11</v>
      </c>
      <c r="L29" s="28"/>
      <c r="M29" s="29" t="str">
        <f>Scheids!$D$14</f>
        <v>Ton Haanappel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Max J2</v>
      </c>
      <c r="F30" s="25"/>
      <c r="G30" s="23" t="s">
        <v>11</v>
      </c>
      <c r="H30" s="25" t="str">
        <f>$A$45</f>
        <v>Talent J2</v>
      </c>
      <c r="I30" s="26"/>
      <c r="J30" s="22"/>
      <c r="K30" s="27" t="s">
        <v>11</v>
      </c>
      <c r="L30" s="28"/>
      <c r="M30" s="29" t="str">
        <f>Scheids!$D$14</f>
        <v>Ton Haanappel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Mozaïek J1</v>
      </c>
      <c r="F31" s="25"/>
      <c r="G31" s="23" t="s">
        <v>11</v>
      </c>
      <c r="H31" s="25" t="str">
        <f>$A$44</f>
        <v>Gabriël J2</v>
      </c>
      <c r="I31" s="26"/>
      <c r="J31" s="22"/>
      <c r="K31" s="27" t="s">
        <v>11</v>
      </c>
      <c r="L31" s="28"/>
      <c r="M31" s="29" t="str">
        <f>Scheids!$D$14</f>
        <v>Ton Haanappel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Freinet J2</v>
      </c>
      <c r="F32" s="25"/>
      <c r="G32" s="23" t="s">
        <v>11</v>
      </c>
      <c r="H32" s="25" t="str">
        <f>$A$47</f>
        <v>Max J2</v>
      </c>
      <c r="I32" s="26"/>
      <c r="J32" s="22"/>
      <c r="K32" s="27" t="s">
        <v>11</v>
      </c>
      <c r="L32" s="28"/>
      <c r="M32" s="29" t="str">
        <f>Scheids!$F$14</f>
        <v>Marcel den Os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Maan J2</v>
      </c>
      <c r="I33" s="26"/>
      <c r="J33" s="22"/>
      <c r="K33" s="27" t="s">
        <v>11</v>
      </c>
      <c r="L33" s="28"/>
      <c r="M33" s="29" t="str">
        <f>Scheids!$F$14</f>
        <v>Marcel den Os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Regenboog J1</v>
      </c>
      <c r="F34" s="25"/>
      <c r="G34" s="23" t="s">
        <v>11</v>
      </c>
      <c r="H34" s="25" t="str">
        <f>$A$45</f>
        <v>Talent J2</v>
      </c>
      <c r="I34" s="26"/>
      <c r="J34" s="22"/>
      <c r="K34" s="27" t="s">
        <v>11</v>
      </c>
      <c r="L34" s="28"/>
      <c r="M34" s="29" t="str">
        <f>Scheids!$F$14</f>
        <v>Marcel den Os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Mozaïek J1</v>
      </c>
      <c r="F35" s="25"/>
      <c r="G35" s="23" t="s">
        <v>11</v>
      </c>
      <c r="H35" s="25" t="str">
        <f>$A$43</f>
        <v>Freinet J2</v>
      </c>
      <c r="I35" s="26"/>
      <c r="J35" s="22"/>
      <c r="K35" s="27" t="s">
        <v>11</v>
      </c>
      <c r="L35" s="28"/>
      <c r="M35" s="29" t="str">
        <f>Scheids!$D$14</f>
        <v>Ton Haanappel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J2</v>
      </c>
      <c r="F36" s="25"/>
      <c r="G36" s="23" t="s">
        <v>11</v>
      </c>
      <c r="H36" s="25" t="str">
        <f>$A$41</f>
        <v>Regenboog J1</v>
      </c>
      <c r="I36" s="26"/>
      <c r="J36" s="22"/>
      <c r="K36" s="27" t="s">
        <v>11</v>
      </c>
      <c r="L36" s="28"/>
      <c r="M36" s="29" t="str">
        <f>Scheids!$D$14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Scheids!$F$14</f>
        <v>Marcel den 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Max J2</v>
      </c>
      <c r="F38" s="36"/>
      <c r="G38" s="34" t="s">
        <v>11</v>
      </c>
      <c r="H38" s="36" t="str">
        <f>$A$44</f>
        <v>Gabriël J2</v>
      </c>
      <c r="I38" s="37"/>
      <c r="J38" s="33"/>
      <c r="K38" s="38" t="s">
        <v>11</v>
      </c>
      <c r="L38" s="39"/>
      <c r="M38" s="120" t="str">
        <f>Scheids!$F$14</f>
        <v>Marcel den 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Scholen!$R$10</f>
        <v>Regenboog J1</v>
      </c>
      <c r="B41" s="146"/>
      <c r="C41" s="146"/>
      <c r="D41" s="147"/>
      <c r="E41" s="148">
        <f>IF(AND($J$11&lt;&gt;"", $L$11&lt;&gt;""),IF($J$11&gt;$L$11,3,IF($J$11=$L$11,1,0)),"")</f>
        <v>3</v>
      </c>
      <c r="F41" s="148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3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Scholen!$R$11</f>
        <v>Maria J2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4</v>
      </c>
      <c r="W42" s="85">
        <f>R11+Q15+R19+Q25+Q28+Q33+R37</f>
        <v>4</v>
      </c>
      <c r="X42" s="93">
        <f t="shared" si="1"/>
        <v>6</v>
      </c>
    </row>
    <row r="43" spans="1:24" ht="18.75" customHeight="1" x14ac:dyDescent="0.3">
      <c r="A43" s="145" t="str">
        <f>Scholen!$R$12</f>
        <v>Freinet J2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2</v>
      </c>
      <c r="R43" s="85">
        <f t="shared" si="2"/>
        <v>1</v>
      </c>
      <c r="S43" s="85">
        <f t="shared" si="3"/>
        <v>1</v>
      </c>
      <c r="T43" s="85">
        <f t="shared" si="4"/>
        <v>0</v>
      </c>
      <c r="U43" s="85">
        <f>J12+L15+J20+L23+J27+J32+L35</f>
        <v>1</v>
      </c>
      <c r="V43" s="85">
        <f>L12+J15+L20+J23+L27+L32+J35</f>
        <v>1</v>
      </c>
      <c r="W43" s="85">
        <f>Q12+R15+Q20+R23+Q27+Q32+R35</f>
        <v>4</v>
      </c>
      <c r="X43" s="93">
        <f t="shared" si="1"/>
        <v>2</v>
      </c>
    </row>
    <row r="44" spans="1:24" ht="18.75" customHeight="1" x14ac:dyDescent="0.3">
      <c r="A44" s="152" t="str">
        <f>Scholen!$R$13</f>
        <v>Gabriël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2</v>
      </c>
      <c r="R44" s="85">
        <f t="shared" si="2"/>
        <v>2</v>
      </c>
      <c r="S44" s="85">
        <f t="shared" si="3"/>
        <v>0</v>
      </c>
      <c r="T44" s="85">
        <f t="shared" si="4"/>
        <v>0</v>
      </c>
      <c r="U44" s="85">
        <f>L12+J16+J19+L24+J29+L31+L38</f>
        <v>3</v>
      </c>
      <c r="V44" s="85">
        <f>J12+L16+L19+J24+L29+J31+J38</f>
        <v>0</v>
      </c>
      <c r="W44" s="85">
        <f>R12+Q16+Q19+R24+Q29+R31+R38</f>
        <v>3</v>
      </c>
      <c r="X44" s="93">
        <f t="shared" si="1"/>
        <v>1</v>
      </c>
    </row>
    <row r="45" spans="1:24" ht="18.75" customHeight="1" x14ac:dyDescent="0.3">
      <c r="A45" s="145" t="str">
        <f>Scholen!$R$14</f>
        <v>Talent J2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5" t="str">
        <f>Scholen!$R$15</f>
        <v>Maan J2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1</v>
      </c>
      <c r="X46" s="93">
        <f t="shared" si="1"/>
        <v>6</v>
      </c>
    </row>
    <row r="47" spans="1:24" ht="18.75" customHeight="1" x14ac:dyDescent="0.3">
      <c r="A47" s="145" t="str">
        <f>IF(Scholen!$R$16&lt;&gt;"",Scholen!$R$16,"")</f>
        <v>Max J2</v>
      </c>
      <c r="B47" s="146"/>
      <c r="C47" s="146"/>
      <c r="D47" s="147"/>
      <c r="E47" s="148">
        <f>IF(AND($J$14&lt;&gt;"",$L$14&lt;&gt;""),IF($J$14&gt;$L$14,3,IF($J$14=$L$14,1,0)),"")</f>
        <v>3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1</v>
      </c>
      <c r="R47" s="85">
        <f t="shared" si="2"/>
        <v>1</v>
      </c>
      <c r="S47" s="85">
        <f t="shared" si="3"/>
        <v>0</v>
      </c>
      <c r="T47" s="85">
        <f t="shared" si="4"/>
        <v>0</v>
      </c>
      <c r="U47" s="85">
        <f>J14+L17+L21+L25+J30+L32+J38</f>
        <v>4</v>
      </c>
      <c r="V47" s="85">
        <f>L14+J17+J21+J25+L30+J32+L38</f>
        <v>1</v>
      </c>
      <c r="W47" s="85">
        <f>Q14+R17+R21+R25+Q30+R32+Q38</f>
        <v>2</v>
      </c>
      <c r="X47" s="93">
        <f t="shared" si="1"/>
        <v>2</v>
      </c>
    </row>
    <row r="48" spans="1:24" ht="18.75" customHeight="1" x14ac:dyDescent="0.3">
      <c r="A48" s="145" t="str">
        <f>IF(Scholen!$R$17&lt;&gt;"",Scholen!$R$17,"")</f>
        <v>Mozaïek J1</v>
      </c>
      <c r="B48" s="146"/>
      <c r="C48" s="146"/>
      <c r="D48" s="147"/>
      <c r="E48" s="156">
        <f>IF(AND($J$14&lt;&gt;"",$L$14&lt;&gt;""),IF($J$14&lt;$L$14,3,IF($J$14=$L$14,1,0)),"")</f>
        <v>0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0</v>
      </c>
      <c r="Q48" s="85">
        <f t="shared" si="0"/>
        <v>1</v>
      </c>
      <c r="R48" s="85">
        <f t="shared" si="2"/>
        <v>0</v>
      </c>
      <c r="S48" s="85">
        <f t="shared" si="3"/>
        <v>1</v>
      </c>
      <c r="T48" s="85">
        <f t="shared" si="4"/>
        <v>0</v>
      </c>
      <c r="U48" s="85">
        <f>L14+J18+L22+L26+L28+J31+J35</f>
        <v>1</v>
      </c>
      <c r="V48" s="85">
        <f>J14+L18+J22+J26+J28+L31+L35</f>
        <v>4</v>
      </c>
      <c r="W48" s="85">
        <f>+R14+Q18+R22+R26+R28+Q31+Q35</f>
        <v>2</v>
      </c>
      <c r="X48" s="93">
        <f t="shared" si="1"/>
        <v>6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Scholen!$B$22</f>
        <v>Jongens</v>
      </c>
      <c r="F8" s="130"/>
      <c r="G8" s="130"/>
      <c r="H8" s="131" t="s">
        <v>21</v>
      </c>
      <c r="I8" s="132" t="s">
        <v>34</v>
      </c>
      <c r="J8" s="130" t="s">
        <v>25</v>
      </c>
      <c r="K8" s="246">
        <f>Scholen!$C$21</f>
        <v>10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Max J3</v>
      </c>
      <c r="F11" s="134"/>
      <c r="G11" s="135" t="s">
        <v>11</v>
      </c>
      <c r="H11" s="134" t="str">
        <f>$A$42</f>
        <v>Maan J3</v>
      </c>
      <c r="I11" s="17"/>
      <c r="J11" s="16">
        <v>7</v>
      </c>
      <c r="K11" s="95" t="s">
        <v>11</v>
      </c>
      <c r="L11" s="18">
        <v>0</v>
      </c>
      <c r="M11" s="19" t="str">
        <f>Scheids!$D$15</f>
        <v>Rien Beenen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J3</v>
      </c>
      <c r="F12" s="25"/>
      <c r="G12" s="23" t="s">
        <v>11</v>
      </c>
      <c r="H12" s="25" t="str">
        <f>$A$44</f>
        <v>Freinet J3</v>
      </c>
      <c r="I12" s="26"/>
      <c r="J12" s="22">
        <v>1</v>
      </c>
      <c r="K12" s="27" t="s">
        <v>11</v>
      </c>
      <c r="L12" s="28">
        <v>3</v>
      </c>
      <c r="M12" s="29" t="str">
        <f>Scheids!$D$15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Gabriël J3</v>
      </c>
      <c r="F13" s="25"/>
      <c r="G13" s="23" t="s">
        <v>11</v>
      </c>
      <c r="H13" s="25" t="str">
        <f>$A$46</f>
        <v>Talent J3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Widar J2</v>
      </c>
      <c r="F14" s="25"/>
      <c r="G14" s="23" t="s">
        <v>11</v>
      </c>
      <c r="H14" s="25" t="str">
        <f>$A$48</f>
        <v>Waterhof J2</v>
      </c>
      <c r="I14" s="26"/>
      <c r="J14" s="22">
        <v>1</v>
      </c>
      <c r="K14" s="27" t="s">
        <v>11</v>
      </c>
      <c r="L14" s="28">
        <v>2</v>
      </c>
      <c r="M14" s="29" t="str">
        <f>Scheids!$F$15</f>
        <v>Henk Priem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Maan J3</v>
      </c>
      <c r="F15" s="25"/>
      <c r="G15" s="23" t="s">
        <v>11</v>
      </c>
      <c r="H15" s="25" t="str">
        <f>$A$43</f>
        <v>Maria J3</v>
      </c>
      <c r="I15" s="26"/>
      <c r="J15" s="22">
        <v>0</v>
      </c>
      <c r="K15" s="27" t="s">
        <v>11</v>
      </c>
      <c r="L15" s="28">
        <v>2</v>
      </c>
      <c r="M15" s="29" t="str">
        <f>Scheids!$F$15</f>
        <v>Henk Priem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Freinet J3</v>
      </c>
      <c r="F16" s="25"/>
      <c r="G16" s="23" t="s">
        <v>11</v>
      </c>
      <c r="H16" s="25" t="str">
        <f>$A$45</f>
        <v>Gabriël J3</v>
      </c>
      <c r="I16" s="26"/>
      <c r="J16" s="22">
        <v>0</v>
      </c>
      <c r="K16" s="27" t="s">
        <v>11</v>
      </c>
      <c r="L16" s="28">
        <v>2</v>
      </c>
      <c r="M16" s="29" t="str">
        <f>Scheids!$F$15</f>
        <v>Henk Priem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Talent J3</v>
      </c>
      <c r="F17" s="25"/>
      <c r="G17" s="23" t="s">
        <v>11</v>
      </c>
      <c r="H17" s="25" t="str">
        <f>$A$47</f>
        <v>Widar J2</v>
      </c>
      <c r="I17" s="26"/>
      <c r="J17" s="22"/>
      <c r="K17" s="27" t="s">
        <v>11</v>
      </c>
      <c r="L17" s="28"/>
      <c r="M17" s="29" t="str">
        <f>Scheids!$D$15</f>
        <v>Rien Beenen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Waterhof J2</v>
      </c>
      <c r="F18" s="25"/>
      <c r="G18" s="23" t="s">
        <v>11</v>
      </c>
      <c r="H18" s="25" t="str">
        <f>$A$41</f>
        <v>Max J3</v>
      </c>
      <c r="I18" s="26"/>
      <c r="J18" s="22"/>
      <c r="K18" s="27" t="s">
        <v>11</v>
      </c>
      <c r="L18" s="28"/>
      <c r="M18" s="29" t="str">
        <f>Scheids!$D$15</f>
        <v>Rien Beenen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Freinet J3</v>
      </c>
      <c r="F19" s="25"/>
      <c r="G19" s="23" t="s">
        <v>11</v>
      </c>
      <c r="H19" s="25" t="str">
        <f>$A$42</f>
        <v>Maan J3</v>
      </c>
      <c r="I19" s="26"/>
      <c r="J19" s="22"/>
      <c r="K19" s="27" t="s">
        <v>11</v>
      </c>
      <c r="L19" s="28"/>
      <c r="M19" s="29" t="str">
        <f>Scheids!$D$15</f>
        <v>Rien Beenen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J3</v>
      </c>
      <c r="F20" s="25"/>
      <c r="G20" s="23" t="s">
        <v>11</v>
      </c>
      <c r="H20" s="25" t="str">
        <f>$A$45</f>
        <v>Gabriël J3</v>
      </c>
      <c r="I20" s="26"/>
      <c r="J20" s="22"/>
      <c r="K20" s="27" t="s">
        <v>11</v>
      </c>
      <c r="L20" s="28"/>
      <c r="M20" s="29" t="str">
        <f>Scheids!$F$15</f>
        <v>Henk Priem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Max J3</v>
      </c>
      <c r="F21" s="25"/>
      <c r="G21" s="23" t="s">
        <v>11</v>
      </c>
      <c r="H21" s="25" t="str">
        <f>$A$47</f>
        <v>Widar J2</v>
      </c>
      <c r="I21" s="26"/>
      <c r="J21" s="22"/>
      <c r="K21" s="27" t="s">
        <v>11</v>
      </c>
      <c r="L21" s="28"/>
      <c r="M21" s="29" t="str">
        <f>Scheids!$F$15</f>
        <v>Henk Priem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Talent J3</v>
      </c>
      <c r="F22" s="25"/>
      <c r="G22" s="23" t="s">
        <v>11</v>
      </c>
      <c r="H22" s="25" t="str">
        <f>$A$48</f>
        <v>Waterhof J2</v>
      </c>
      <c r="I22" s="26"/>
      <c r="J22" s="22"/>
      <c r="K22" s="27" t="s">
        <v>11</v>
      </c>
      <c r="L22" s="28"/>
      <c r="M22" s="29" t="str">
        <f>Scheids!$F$15</f>
        <v>Henk Priem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Max J3</v>
      </c>
      <c r="F23" s="25"/>
      <c r="G23" s="23" t="s">
        <v>11</v>
      </c>
      <c r="H23" s="25" t="str">
        <f>$A$43</f>
        <v>Maria J3</v>
      </c>
      <c r="I23" s="26"/>
      <c r="J23" s="22"/>
      <c r="K23" s="27" t="s">
        <v>11</v>
      </c>
      <c r="L23" s="28"/>
      <c r="M23" s="29" t="str">
        <f>Scheids!$D$15</f>
        <v>Rien Beenen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Talent J3</v>
      </c>
      <c r="F24" s="25"/>
      <c r="G24" s="23" t="s">
        <v>11</v>
      </c>
      <c r="H24" s="25" t="str">
        <f>$A$44</f>
        <v>Freinet J3</v>
      </c>
      <c r="I24" s="26"/>
      <c r="J24" s="22"/>
      <c r="K24" s="27" t="s">
        <v>11</v>
      </c>
      <c r="L24" s="28"/>
      <c r="M24" s="29" t="str">
        <f>Scheids!$D$15</f>
        <v>Rien Beenen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Maan J3</v>
      </c>
      <c r="F25" s="25"/>
      <c r="G25" s="23" t="s">
        <v>11</v>
      </c>
      <c r="H25" s="25" t="str">
        <f>$A$47</f>
        <v>Widar J2</v>
      </c>
      <c r="I25" s="26"/>
      <c r="J25" s="22"/>
      <c r="K25" s="27" t="s">
        <v>11</v>
      </c>
      <c r="L25" s="28"/>
      <c r="M25" s="29" t="str">
        <f>Scheids!$D$15</f>
        <v>Rien Beenen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Gabriël J3</v>
      </c>
      <c r="F26" s="25"/>
      <c r="G26" s="23" t="s">
        <v>11</v>
      </c>
      <c r="H26" s="25" t="str">
        <f>$A$48</f>
        <v>Waterhof J2</v>
      </c>
      <c r="I26" s="26"/>
      <c r="J26" s="22"/>
      <c r="K26" s="27" t="s">
        <v>11</v>
      </c>
      <c r="L26" s="28"/>
      <c r="M26" s="29" t="str">
        <f>Scheids!$F$15</f>
        <v>Henk Priem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J3</v>
      </c>
      <c r="F27" s="25"/>
      <c r="G27" s="23" t="s">
        <v>11</v>
      </c>
      <c r="H27" s="25" t="str">
        <f>$A$46</f>
        <v>Talent J3</v>
      </c>
      <c r="I27" s="26"/>
      <c r="J27" s="22"/>
      <c r="K27" s="27" t="s">
        <v>11</v>
      </c>
      <c r="L27" s="28"/>
      <c r="M27" s="29" t="str">
        <f>Scheids!$F$15</f>
        <v>Henk Priem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Maan J3</v>
      </c>
      <c r="F28" s="25"/>
      <c r="G28" s="23" t="s">
        <v>11</v>
      </c>
      <c r="H28" s="25" t="str">
        <f>$A$48</f>
        <v>Waterhof J2</v>
      </c>
      <c r="I28" s="26"/>
      <c r="J28" s="22"/>
      <c r="K28" s="27" t="s">
        <v>11</v>
      </c>
      <c r="L28" s="28"/>
      <c r="M28" s="29" t="str">
        <f>Scheids!$F$15</f>
        <v>Henk Priem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Freinet J3</v>
      </c>
      <c r="F29" s="25"/>
      <c r="G29" s="23" t="s">
        <v>11</v>
      </c>
      <c r="H29" s="25" t="str">
        <f>$A$41</f>
        <v>Max J3</v>
      </c>
      <c r="I29" s="26"/>
      <c r="J29" s="22"/>
      <c r="K29" s="27" t="s">
        <v>11</v>
      </c>
      <c r="L29" s="28"/>
      <c r="M29" s="29" t="str">
        <f>Scheids!$D$15</f>
        <v>Rien Beenen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J2</v>
      </c>
      <c r="F30" s="25"/>
      <c r="G30" s="23" t="s">
        <v>11</v>
      </c>
      <c r="H30" s="25" t="str">
        <f>$A$45</f>
        <v>Gabriël J3</v>
      </c>
      <c r="I30" s="26"/>
      <c r="J30" s="22"/>
      <c r="K30" s="27" t="s">
        <v>11</v>
      </c>
      <c r="L30" s="28"/>
      <c r="M30" s="29" t="str">
        <f>Scheids!$D$15</f>
        <v>Rien Beenen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Waterhof J2</v>
      </c>
      <c r="F31" s="25"/>
      <c r="G31" s="23" t="s">
        <v>11</v>
      </c>
      <c r="H31" s="25" t="str">
        <f>$A$44</f>
        <v>Freinet J3</v>
      </c>
      <c r="I31" s="26"/>
      <c r="J31" s="22"/>
      <c r="K31" s="27" t="s">
        <v>11</v>
      </c>
      <c r="L31" s="28"/>
      <c r="M31" s="29" t="str">
        <f>Scheids!$D$15</f>
        <v>Rien Beenen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J3</v>
      </c>
      <c r="F32" s="25"/>
      <c r="G32" s="23" t="s">
        <v>11</v>
      </c>
      <c r="H32" s="25" t="str">
        <f>$A$47</f>
        <v>Widar J2</v>
      </c>
      <c r="I32" s="26"/>
      <c r="J32" s="22"/>
      <c r="K32" s="27" t="s">
        <v>11</v>
      </c>
      <c r="L32" s="28"/>
      <c r="M32" s="29" t="str">
        <f>Scheids!$F$15</f>
        <v>Henk Priem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Maan J3</v>
      </c>
      <c r="F33" s="25"/>
      <c r="G33" s="23" t="s">
        <v>11</v>
      </c>
      <c r="H33" s="25" t="str">
        <f>$A$46</f>
        <v>Talent J3</v>
      </c>
      <c r="I33" s="26"/>
      <c r="J33" s="22"/>
      <c r="K33" s="27" t="s">
        <v>11</v>
      </c>
      <c r="L33" s="28"/>
      <c r="M33" s="29" t="str">
        <f>Scheids!$F$15</f>
        <v>Henk Priem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Max J3</v>
      </c>
      <c r="F34" s="25"/>
      <c r="G34" s="23" t="s">
        <v>11</v>
      </c>
      <c r="H34" s="25" t="str">
        <f>$A$45</f>
        <v>Gabriël J3</v>
      </c>
      <c r="I34" s="26"/>
      <c r="J34" s="22"/>
      <c r="K34" s="27" t="s">
        <v>11</v>
      </c>
      <c r="L34" s="28"/>
      <c r="M34" s="29" t="str">
        <f>Scheids!$F$15</f>
        <v>Henk Priem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Waterhof J2</v>
      </c>
      <c r="F35" s="25"/>
      <c r="G35" s="23" t="s">
        <v>11</v>
      </c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Scheids!$D$15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Talent J3</v>
      </c>
      <c r="F36" s="25"/>
      <c r="G36" s="23" t="s">
        <v>11</v>
      </c>
      <c r="H36" s="25" t="str">
        <f>$A$41</f>
        <v>Max J3</v>
      </c>
      <c r="I36" s="26"/>
      <c r="J36" s="22"/>
      <c r="K36" s="27" t="s">
        <v>11</v>
      </c>
      <c r="L36" s="28"/>
      <c r="M36" s="29" t="str">
        <f>Scheids!$D$15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Gabriël J3</v>
      </c>
      <c r="F37" s="25"/>
      <c r="G37" s="23" t="s">
        <v>11</v>
      </c>
      <c r="H37" s="25" t="str">
        <f>$A$42</f>
        <v>Maan J3</v>
      </c>
      <c r="I37" s="26"/>
      <c r="J37" s="22"/>
      <c r="K37" s="27" t="s">
        <v>11</v>
      </c>
      <c r="L37" s="28"/>
      <c r="M37" s="29" t="str">
        <f>Scheids!$F$15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J2</v>
      </c>
      <c r="F38" s="36"/>
      <c r="G38" s="34" t="s">
        <v>11</v>
      </c>
      <c r="H38" s="36" t="str">
        <f>$A$44</f>
        <v>Freinet J3</v>
      </c>
      <c r="I38" s="37"/>
      <c r="J38" s="33"/>
      <c r="K38" s="38" t="s">
        <v>11</v>
      </c>
      <c r="L38" s="39"/>
      <c r="M38" s="120" t="str">
        <f>Scheids!$F$15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Scholen!$B$24</f>
        <v>Max J3</v>
      </c>
      <c r="B41" s="146"/>
      <c r="C41" s="146"/>
      <c r="D41" s="147"/>
      <c r="E41" s="148">
        <f>IF(AND($J$11&lt;&gt;"", $L$11&lt;&gt;""),IF($J$11&gt;$L$11,3,IF($J$11=$L$11,1,0)),"")</f>
        <v>3</v>
      </c>
      <c r="F41" s="148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7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Scholen!$B$25</f>
        <v>Maan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9</v>
      </c>
      <c r="W42" s="85">
        <f>R11+Q15+R19+Q25+Q28+Q33+R37</f>
        <v>3</v>
      </c>
      <c r="X42" s="93">
        <f t="shared" si="1"/>
        <v>6</v>
      </c>
    </row>
    <row r="43" spans="1:24" ht="18.75" customHeight="1" x14ac:dyDescent="0.3">
      <c r="A43" s="145" t="str">
        <f>Scholen!$B$26</f>
        <v>Maria J3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2</v>
      </c>
      <c r="R43" s="85">
        <f t="shared" si="2"/>
        <v>1</v>
      </c>
      <c r="S43" s="85">
        <f t="shared" si="3"/>
        <v>1</v>
      </c>
      <c r="T43" s="85">
        <f t="shared" si="4"/>
        <v>0</v>
      </c>
      <c r="U43" s="85">
        <f>J12+L15+J20+L23+J27+J32+L35</f>
        <v>3</v>
      </c>
      <c r="V43" s="85">
        <f>L12+J15+L20+J23+L27+L32+J35</f>
        <v>3</v>
      </c>
      <c r="W43" s="85">
        <f>Q12+R15+Q20+R23+Q27+Q32+R35</f>
        <v>4</v>
      </c>
      <c r="X43" s="93">
        <f t="shared" si="1"/>
        <v>2</v>
      </c>
    </row>
    <row r="44" spans="1:24" ht="18.75" customHeight="1" x14ac:dyDescent="0.3">
      <c r="A44" s="152" t="str">
        <f>Scholen!$B$27</f>
        <v>Freinet J3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2</v>
      </c>
      <c r="R44" s="85">
        <f t="shared" si="2"/>
        <v>1</v>
      </c>
      <c r="S44" s="85">
        <f t="shared" si="3"/>
        <v>1</v>
      </c>
      <c r="T44" s="85">
        <f t="shared" si="4"/>
        <v>0</v>
      </c>
      <c r="U44" s="85">
        <f>L12+J16+J19+L24+J29+L31+L38</f>
        <v>3</v>
      </c>
      <c r="V44" s="85">
        <f>J12+L16+L19+J24+L29+J31+J38</f>
        <v>3</v>
      </c>
      <c r="W44" s="85">
        <f>R12+Q16+Q19+R24+Q29+R31+R38</f>
        <v>3</v>
      </c>
      <c r="X44" s="93">
        <f t="shared" si="1"/>
        <v>2</v>
      </c>
    </row>
    <row r="45" spans="1:24" ht="18.75" customHeight="1" x14ac:dyDescent="0.3">
      <c r="A45" s="145" t="str">
        <f>Scholen!$B$28</f>
        <v>Gabriël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2</v>
      </c>
      <c r="R45" s="85">
        <f t="shared" si="2"/>
        <v>2</v>
      </c>
      <c r="S45" s="85">
        <f t="shared" si="3"/>
        <v>0</v>
      </c>
      <c r="T45" s="85">
        <f t="shared" si="4"/>
        <v>0</v>
      </c>
      <c r="U45" s="85">
        <f>J13+L16+L20+J26+L30+L34+J37</f>
        <v>3</v>
      </c>
      <c r="V45" s="85">
        <f>L13+J16+J20+L26+J30+J34+L37</f>
        <v>0</v>
      </c>
      <c r="W45" s="85">
        <f>Q13+R16+R20+Q26+R30+R34+Q37</f>
        <v>3</v>
      </c>
      <c r="X45" s="93">
        <f t="shared" si="1"/>
        <v>1</v>
      </c>
    </row>
    <row r="46" spans="1:24" ht="18.75" customHeight="1" x14ac:dyDescent="0.3">
      <c r="A46" s="145" t="str">
        <f>Scholen!$B$29</f>
        <v>Talent J3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2</v>
      </c>
      <c r="X46" s="93">
        <f t="shared" si="1"/>
        <v>6</v>
      </c>
    </row>
    <row r="47" spans="1:24" ht="18.75" customHeight="1" x14ac:dyDescent="0.3">
      <c r="A47" s="145" t="str">
        <f>IF(Scholen!$B$30&lt;&gt;"",Scholen!$B$30,"")</f>
        <v>Widar J2</v>
      </c>
      <c r="B47" s="146"/>
      <c r="C47" s="146"/>
      <c r="D47" s="147"/>
      <c r="E47" s="148">
        <f>IF(AND($J$14&lt;&gt;"",$L$14&lt;&gt;""),IF($J$14&gt;$L$14,3,IF($J$14=$L$14,1,0)),"")</f>
        <v>0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1</v>
      </c>
      <c r="R47" s="85">
        <f t="shared" si="2"/>
        <v>0</v>
      </c>
      <c r="S47" s="85">
        <f t="shared" si="3"/>
        <v>1</v>
      </c>
      <c r="T47" s="85">
        <f t="shared" si="4"/>
        <v>0</v>
      </c>
      <c r="U47" s="85">
        <f>J14+L17+L21+L25+J30+L32+J38</f>
        <v>1</v>
      </c>
      <c r="V47" s="85">
        <f>L14+J17+J21+J25+L30+J32+L38</f>
        <v>2</v>
      </c>
      <c r="W47" s="85">
        <f>Q14+R17+R21+R25+Q30+R32+Q38</f>
        <v>1</v>
      </c>
      <c r="X47" s="93">
        <f t="shared" si="1"/>
        <v>6</v>
      </c>
    </row>
    <row r="48" spans="1:24" ht="18.75" customHeight="1" x14ac:dyDescent="0.3">
      <c r="A48" s="145" t="str">
        <f>IF(Scholen!$B$31&lt;&gt;"",Scholen!$B$31,"")</f>
        <v>Waterhof J2</v>
      </c>
      <c r="B48" s="146"/>
      <c r="C48" s="146"/>
      <c r="D48" s="147"/>
      <c r="E48" s="156">
        <f>IF(AND($J$14&lt;&gt;"",$L$14&lt;&gt;""),IF($J$14&lt;$L$14,3,IF($J$14=$L$14,1,0)),"")</f>
        <v>3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3</v>
      </c>
      <c r="Q48" s="85">
        <f t="shared" si="0"/>
        <v>1</v>
      </c>
      <c r="R48" s="85">
        <f t="shared" si="2"/>
        <v>1</v>
      </c>
      <c r="S48" s="85">
        <f t="shared" si="3"/>
        <v>0</v>
      </c>
      <c r="T48" s="85">
        <f t="shared" si="4"/>
        <v>0</v>
      </c>
      <c r="U48" s="85">
        <f>L14+J18+L22+L26+L28+J31+J35</f>
        <v>2</v>
      </c>
      <c r="V48" s="85">
        <f>J14+L18+J22+J26+J28+L31+L35</f>
        <v>1</v>
      </c>
      <c r="W48" s="85">
        <f>+R14+Q18+R22+R26+R28+Q31+Q35</f>
        <v>1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Scholen!$D$22</f>
        <v>Jongens</v>
      </c>
      <c r="F8" s="130"/>
      <c r="G8" s="130"/>
      <c r="H8" s="131" t="s">
        <v>21</v>
      </c>
      <c r="I8" s="132" t="s">
        <v>35</v>
      </c>
      <c r="J8" s="130" t="s">
        <v>25</v>
      </c>
      <c r="K8" s="246">
        <f>Scholen!$E$21</f>
        <v>11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Mozaïek J2</v>
      </c>
      <c r="F11" s="134"/>
      <c r="G11" s="135" t="s">
        <v>11</v>
      </c>
      <c r="H11" s="134" t="str">
        <f>$A$42</f>
        <v>Max J4</v>
      </c>
      <c r="I11" s="17"/>
      <c r="J11" s="16">
        <v>1</v>
      </c>
      <c r="K11" s="95" t="s">
        <v>11</v>
      </c>
      <c r="L11" s="18">
        <v>0</v>
      </c>
      <c r="M11" s="19" t="str">
        <f>Scheids!$D$16</f>
        <v>Barry Smits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Maan J4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1</v>
      </c>
      <c r="M12" s="29" t="str">
        <f>Scheids!$D$16</f>
        <v>Barry Smits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Freinet J4</v>
      </c>
      <c r="F13" s="25"/>
      <c r="G13" s="23" t="s">
        <v>11</v>
      </c>
      <c r="H13" s="25" t="str">
        <f>$A$46</f>
        <v>Gabriël J4</v>
      </c>
      <c r="I13" s="26"/>
      <c r="J13" s="22">
        <v>1</v>
      </c>
      <c r="K13" s="27" t="s">
        <v>11</v>
      </c>
      <c r="L13" s="28">
        <v>1</v>
      </c>
      <c r="M13" s="29" t="str">
        <f>Scheids!$D$16</f>
        <v>Barry Smits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Talent J4</v>
      </c>
      <c r="F14" s="25"/>
      <c r="G14" s="23"/>
      <c r="H14" s="25" t="str">
        <f>$A$48</f>
        <v>Widar J3</v>
      </c>
      <c r="I14" s="26"/>
      <c r="J14" s="22">
        <v>1</v>
      </c>
      <c r="K14" s="27" t="s">
        <v>11</v>
      </c>
      <c r="L14" s="28">
        <v>1</v>
      </c>
      <c r="M14" s="29" t="str">
        <f>Scheids!$F$16</f>
        <v>Martin van Blitterswijk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J4</v>
      </c>
      <c r="F15" s="25"/>
      <c r="G15" s="23" t="s">
        <v>11</v>
      </c>
      <c r="H15" s="25" t="str">
        <f>$A$43</f>
        <v>Maan J4</v>
      </c>
      <c r="I15" s="26"/>
      <c r="J15" s="22">
        <v>2</v>
      </c>
      <c r="K15" s="27" t="s">
        <v>11</v>
      </c>
      <c r="L15" s="28">
        <v>0</v>
      </c>
      <c r="M15" s="29" t="str">
        <f>Scheids!$F$16</f>
        <v>Martin van Blitterswijk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Freinet J4</v>
      </c>
      <c r="I16" s="26"/>
      <c r="J16" s="22">
        <v>1</v>
      </c>
      <c r="K16" s="27" t="s">
        <v>11</v>
      </c>
      <c r="L16" s="28">
        <v>0</v>
      </c>
      <c r="M16" s="29" t="str">
        <f>Scheids!$F$16</f>
        <v>Martin van Blitterswijk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Gabriël J4</v>
      </c>
      <c r="F17" s="25"/>
      <c r="G17" s="23" t="s">
        <v>11</v>
      </c>
      <c r="H17" s="25" t="str">
        <f>$A$47</f>
        <v>Talent J4</v>
      </c>
      <c r="I17" s="26"/>
      <c r="J17" s="22"/>
      <c r="K17" s="27" t="s">
        <v>11</v>
      </c>
      <c r="L17" s="28"/>
      <c r="M17" s="29" t="str">
        <f>Scheids!$D$16</f>
        <v>Barry Smits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J3</v>
      </c>
      <c r="F18" s="25"/>
      <c r="G18" s="23"/>
      <c r="H18" s="25" t="str">
        <f>$A$41</f>
        <v>Mozaïek J2</v>
      </c>
      <c r="I18" s="26"/>
      <c r="J18" s="22"/>
      <c r="K18" s="27" t="s">
        <v>11</v>
      </c>
      <c r="L18" s="28"/>
      <c r="M18" s="29" t="str">
        <f>Scheids!$D$16</f>
        <v>Barry Smits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Max J4</v>
      </c>
      <c r="I19" s="26"/>
      <c r="J19" s="22"/>
      <c r="K19" s="27" t="s">
        <v>11</v>
      </c>
      <c r="L19" s="28"/>
      <c r="M19" s="29" t="str">
        <f>Scheids!$D$16</f>
        <v>Barry Smits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Maan J4</v>
      </c>
      <c r="F20" s="25"/>
      <c r="G20" s="23" t="s">
        <v>11</v>
      </c>
      <c r="H20" s="25" t="str">
        <f>$A$45</f>
        <v>Freinet J4</v>
      </c>
      <c r="I20" s="26"/>
      <c r="J20" s="22"/>
      <c r="K20" s="27" t="s">
        <v>11</v>
      </c>
      <c r="L20" s="28"/>
      <c r="M20" s="29" t="str">
        <f>Scheids!$F$16</f>
        <v>Martin van Blitterswijk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Mozaïek J2</v>
      </c>
      <c r="F21" s="25"/>
      <c r="G21" s="23" t="s">
        <v>11</v>
      </c>
      <c r="H21" s="25" t="str">
        <f>$A$47</f>
        <v>Talent J4</v>
      </c>
      <c r="I21" s="26"/>
      <c r="J21" s="22"/>
      <c r="K21" s="27" t="s">
        <v>11</v>
      </c>
      <c r="L21" s="28"/>
      <c r="M21" s="29" t="str">
        <f>Scheids!$F$16</f>
        <v>Martin van Blitterswijk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Gabriël J4</v>
      </c>
      <c r="F22" s="25"/>
      <c r="G22" s="23"/>
      <c r="H22" s="25" t="str">
        <f>$A$48</f>
        <v>Widar J3</v>
      </c>
      <c r="I22" s="26"/>
      <c r="J22" s="22"/>
      <c r="K22" s="27" t="s">
        <v>11</v>
      </c>
      <c r="L22" s="28"/>
      <c r="M22" s="29" t="str">
        <f>Scheids!$F$16</f>
        <v>Martin van Blitterswijk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Mozaïek J2</v>
      </c>
      <c r="F23" s="25"/>
      <c r="G23" s="23" t="s">
        <v>11</v>
      </c>
      <c r="H23" s="25" t="str">
        <f>$A$43</f>
        <v>Maan J4</v>
      </c>
      <c r="I23" s="26"/>
      <c r="J23" s="22"/>
      <c r="K23" s="27" t="s">
        <v>11</v>
      </c>
      <c r="L23" s="28"/>
      <c r="M23" s="29" t="str">
        <f>Scheids!$D$16</f>
        <v>Barry Smits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Gabriël J4</v>
      </c>
      <c r="F24" s="25"/>
      <c r="G24" s="23" t="s">
        <v>11</v>
      </c>
      <c r="H24" s="25" t="str">
        <f>$A$44</f>
        <v>Maria J4</v>
      </c>
      <c r="I24" s="26"/>
      <c r="J24" s="22"/>
      <c r="K24" s="27" t="s">
        <v>11</v>
      </c>
      <c r="L24" s="28"/>
      <c r="M24" s="29" t="str">
        <f>Scheids!$D$16</f>
        <v>Barry Smits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J4</v>
      </c>
      <c r="F25" s="25"/>
      <c r="G25" s="23" t="s">
        <v>11</v>
      </c>
      <c r="H25" s="25" t="str">
        <f>$A$47</f>
        <v>Talent J4</v>
      </c>
      <c r="I25" s="26"/>
      <c r="J25" s="22"/>
      <c r="K25" s="27" t="s">
        <v>11</v>
      </c>
      <c r="L25" s="28"/>
      <c r="M25" s="29" t="str">
        <f>Scheids!$D$16</f>
        <v>Barry Smits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Freinet J4</v>
      </c>
      <c r="F26" s="25"/>
      <c r="G26" s="23"/>
      <c r="H26" s="25" t="str">
        <f>$A$48</f>
        <v>Widar J3</v>
      </c>
      <c r="I26" s="26"/>
      <c r="J26" s="22"/>
      <c r="K26" s="27" t="s">
        <v>11</v>
      </c>
      <c r="L26" s="28"/>
      <c r="M26" s="29" t="str">
        <f>Scheids!$F$16</f>
        <v>Martin van Blitterswijk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Maan J4</v>
      </c>
      <c r="F27" s="25"/>
      <c r="G27" s="23" t="s">
        <v>11</v>
      </c>
      <c r="H27" s="25" t="str">
        <f>$A$46</f>
        <v>Gabriël J4</v>
      </c>
      <c r="I27" s="26"/>
      <c r="J27" s="22"/>
      <c r="K27" s="27" t="s">
        <v>11</v>
      </c>
      <c r="L27" s="28"/>
      <c r="M27" s="29" t="str">
        <f>Scheids!$F$16</f>
        <v>Martin van Blitterswijk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J4</v>
      </c>
      <c r="F28" s="25"/>
      <c r="G28" s="23"/>
      <c r="H28" s="25" t="str">
        <f>$A$48</f>
        <v>Widar J3</v>
      </c>
      <c r="I28" s="26"/>
      <c r="J28" s="22"/>
      <c r="K28" s="27" t="s">
        <v>11</v>
      </c>
      <c r="L28" s="28"/>
      <c r="M28" s="29" t="str">
        <f>Scheids!$F$16</f>
        <v>Martin van Blitterswijk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Mozaïek J2</v>
      </c>
      <c r="I29" s="26"/>
      <c r="J29" s="22"/>
      <c r="K29" s="27" t="s">
        <v>11</v>
      </c>
      <c r="L29" s="28"/>
      <c r="M29" s="29" t="str">
        <f>Scheids!$D$16</f>
        <v>Barry Smits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Talent J4</v>
      </c>
      <c r="F30" s="25"/>
      <c r="G30" s="23" t="s">
        <v>11</v>
      </c>
      <c r="H30" s="25" t="str">
        <f>$A$45</f>
        <v>Freinet J4</v>
      </c>
      <c r="I30" s="26"/>
      <c r="J30" s="22"/>
      <c r="K30" s="27" t="s">
        <v>11</v>
      </c>
      <c r="L30" s="28"/>
      <c r="M30" s="29" t="str">
        <f>Scheids!$D$16</f>
        <v>Barry Smits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J3</v>
      </c>
      <c r="F31" s="25"/>
      <c r="G31" s="23"/>
      <c r="H31" s="25" t="str">
        <f>$A$44</f>
        <v>Maria J4</v>
      </c>
      <c r="I31" s="26"/>
      <c r="J31" s="22"/>
      <c r="K31" s="27" t="s">
        <v>11</v>
      </c>
      <c r="L31" s="28"/>
      <c r="M31" s="29" t="str">
        <f>Scheids!$D$16</f>
        <v>Barry Smits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Maan J4</v>
      </c>
      <c r="F32" s="25"/>
      <c r="G32" s="23" t="s">
        <v>11</v>
      </c>
      <c r="H32" s="25" t="str">
        <f>$A$47</f>
        <v>Talent J4</v>
      </c>
      <c r="I32" s="26"/>
      <c r="J32" s="22"/>
      <c r="K32" s="27" t="s">
        <v>11</v>
      </c>
      <c r="L32" s="28"/>
      <c r="M32" s="29" t="str">
        <f>Scheids!$F$16</f>
        <v>Martin van Blitterswijk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J4</v>
      </c>
      <c r="F33" s="25"/>
      <c r="G33" s="23" t="s">
        <v>11</v>
      </c>
      <c r="H33" s="25" t="str">
        <f>$A$46</f>
        <v>Gabriël J4</v>
      </c>
      <c r="I33" s="26"/>
      <c r="J33" s="22"/>
      <c r="K33" s="27" t="s">
        <v>11</v>
      </c>
      <c r="L33" s="28"/>
      <c r="M33" s="29" t="str">
        <f>Scheids!$F$16</f>
        <v>Martin van Blitterswijk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Mozaïek J2</v>
      </c>
      <c r="F34" s="25"/>
      <c r="G34" s="23" t="s">
        <v>11</v>
      </c>
      <c r="H34" s="25" t="str">
        <f>$A$45</f>
        <v>Freinet J4</v>
      </c>
      <c r="I34" s="26"/>
      <c r="J34" s="22"/>
      <c r="K34" s="27" t="s">
        <v>11</v>
      </c>
      <c r="L34" s="28"/>
      <c r="M34" s="29" t="str">
        <f>Scheids!$F$16</f>
        <v>Martin van Blitterswijk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J3</v>
      </c>
      <c r="F35" s="25"/>
      <c r="G35" s="23"/>
      <c r="H35" s="25" t="str">
        <f>$A$43</f>
        <v>Maan J4</v>
      </c>
      <c r="I35" s="26"/>
      <c r="J35" s="22"/>
      <c r="K35" s="27" t="s">
        <v>11</v>
      </c>
      <c r="L35" s="28"/>
      <c r="M35" s="29" t="str">
        <f>Scheids!$D$16</f>
        <v>Barry Smits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Gabriël J4</v>
      </c>
      <c r="F36" s="25"/>
      <c r="G36" s="23" t="s">
        <v>11</v>
      </c>
      <c r="H36" s="25" t="str">
        <f>$A$41</f>
        <v>Mozaïek J2</v>
      </c>
      <c r="I36" s="26"/>
      <c r="J36" s="22"/>
      <c r="K36" s="27" t="s">
        <v>11</v>
      </c>
      <c r="L36" s="28"/>
      <c r="M36" s="29" t="str">
        <f>Scheids!$D$16</f>
        <v>Barry Smits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Freinet J4</v>
      </c>
      <c r="F37" s="25"/>
      <c r="G37" s="23" t="s">
        <v>11</v>
      </c>
      <c r="H37" s="25" t="str">
        <f>$A$42</f>
        <v>Max J4</v>
      </c>
      <c r="I37" s="26"/>
      <c r="J37" s="22"/>
      <c r="K37" s="27" t="s">
        <v>11</v>
      </c>
      <c r="L37" s="28"/>
      <c r="M37" s="29" t="str">
        <f>Scheids!$F$16</f>
        <v>Martin van Blitterswijk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Talent J4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0" t="str">
        <f>Scheids!$F$16</f>
        <v>Martin van Blitterswijk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Scholen!$D$24</f>
        <v>Mozaïek J2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1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Scholen!$D$25</f>
        <v>Max J4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2</v>
      </c>
      <c r="R42" s="85">
        <f t="shared" ref="R42:R48" si="2">COUNTIFS(E42:N42,3)</f>
        <v>1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2</v>
      </c>
      <c r="V42" s="85">
        <f>J11+L15+J19+L25+L28+L33+J37</f>
        <v>1</v>
      </c>
      <c r="W42" s="85">
        <f>R11+Q15+R19+Q25+Q28+Q33+R37</f>
        <v>3</v>
      </c>
      <c r="X42" s="93">
        <f t="shared" si="1"/>
        <v>2</v>
      </c>
    </row>
    <row r="43" spans="1:24" ht="18.75" customHeight="1" x14ac:dyDescent="0.3">
      <c r="A43" s="145" t="str">
        <f>Scholen!$D$26</f>
        <v>Maan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2</v>
      </c>
      <c r="R43" s="85">
        <f t="shared" si="2"/>
        <v>0</v>
      </c>
      <c r="S43" s="85">
        <f t="shared" si="3"/>
        <v>2</v>
      </c>
      <c r="T43" s="85">
        <f t="shared" si="4"/>
        <v>0</v>
      </c>
      <c r="U43" s="85">
        <f>J12+L15+J20+L23+J27+J32+L35</f>
        <v>0</v>
      </c>
      <c r="V43" s="85">
        <f>L12+J15+L20+J23+L27+L32+J35</f>
        <v>3</v>
      </c>
      <c r="W43" s="85">
        <f>Q12+R15+Q20+R23+Q27+Q32+R35</f>
        <v>2</v>
      </c>
      <c r="X43" s="93">
        <f t="shared" si="1"/>
        <v>8</v>
      </c>
    </row>
    <row r="44" spans="1:24" ht="18.75" customHeight="1" x14ac:dyDescent="0.3">
      <c r="A44" s="152" t="str">
        <f>Scholen!$D$27</f>
        <v>Maria J4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2</v>
      </c>
      <c r="R44" s="85">
        <f t="shared" si="2"/>
        <v>2</v>
      </c>
      <c r="S44" s="85">
        <f t="shared" si="3"/>
        <v>0</v>
      </c>
      <c r="T44" s="85">
        <f t="shared" si="4"/>
        <v>0</v>
      </c>
      <c r="U44" s="85">
        <f>L12+J16+J19+L24+J29+L31+L38</f>
        <v>2</v>
      </c>
      <c r="V44" s="85">
        <f>J12+L16+L19+J24+L29+J31+J38</f>
        <v>0</v>
      </c>
      <c r="W44" s="85">
        <f>R12+Q16+Q19+R24+Q29+R31+R38</f>
        <v>2</v>
      </c>
      <c r="X44" s="93">
        <f t="shared" si="1"/>
        <v>1</v>
      </c>
    </row>
    <row r="45" spans="1:24" ht="18.75" customHeight="1" x14ac:dyDescent="0.3">
      <c r="A45" s="145" t="str">
        <f>Scholen!$D$28</f>
        <v>Freinet J4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2</v>
      </c>
      <c r="R45" s="85">
        <f t="shared" si="2"/>
        <v>0</v>
      </c>
      <c r="S45" s="85">
        <f t="shared" si="3"/>
        <v>1</v>
      </c>
      <c r="T45" s="85">
        <f t="shared" si="4"/>
        <v>1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3</v>
      </c>
      <c r="X45" s="93">
        <f t="shared" si="1"/>
        <v>4</v>
      </c>
    </row>
    <row r="46" spans="1:24" ht="18.75" customHeight="1" x14ac:dyDescent="0.3">
      <c r="A46" s="145" t="str">
        <f>Scholen!$D$29</f>
        <v>Gabriël J4</v>
      </c>
      <c r="B46" s="146"/>
      <c r="C46" s="146"/>
      <c r="D46" s="147"/>
      <c r="E46" s="148">
        <f>IF(AND($J$13&lt;&gt;"",$L$13&lt;&gt;""),IF($J$13&lt;$L$13,3,IF($J$13=$L$13,1,0)),"")</f>
        <v>1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</v>
      </c>
      <c r="Q46" s="85">
        <f t="shared" si="0"/>
        <v>1</v>
      </c>
      <c r="R46" s="85">
        <f t="shared" si="2"/>
        <v>0</v>
      </c>
      <c r="S46" s="85">
        <f t="shared" si="3"/>
        <v>0</v>
      </c>
      <c r="T46" s="85">
        <f t="shared" si="4"/>
        <v>1</v>
      </c>
      <c r="U46" s="85">
        <f>L13+J17+J22+J24+L27+L33+J36</f>
        <v>1</v>
      </c>
      <c r="V46" s="85">
        <f>J13+L17+L22+L24+J27+J33+L36</f>
        <v>1</v>
      </c>
      <c r="W46" s="85">
        <f>R13+Q17+Q22+Q24+R27+R33+Q36</f>
        <v>2</v>
      </c>
      <c r="X46" s="93">
        <f t="shared" si="1"/>
        <v>4</v>
      </c>
    </row>
    <row r="47" spans="1:24" ht="18.75" customHeight="1" x14ac:dyDescent="0.3">
      <c r="A47" s="145" t="str">
        <f>IF(Scholen!$D$30&lt;&gt;"",Scholen!$D$30,"")</f>
        <v>Talent J4</v>
      </c>
      <c r="B47" s="146"/>
      <c r="C47" s="146"/>
      <c r="D47" s="147"/>
      <c r="E47" s="159">
        <f>IF(AND($J$14&lt;&gt;"",$L$14&lt;&gt;""),IF($J$14&gt;$L$14,3,IF($J$14=$L$14,1,0)),"")</f>
        <v>1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1</v>
      </c>
      <c r="R47" s="85">
        <f t="shared" si="2"/>
        <v>0</v>
      </c>
      <c r="S47" s="85">
        <f t="shared" si="3"/>
        <v>0</v>
      </c>
      <c r="T47" s="85">
        <f t="shared" si="4"/>
        <v>1</v>
      </c>
      <c r="U47" s="85">
        <f>J14+L17+L21+L25+J30+L32+J38</f>
        <v>1</v>
      </c>
      <c r="V47" s="85">
        <f>L14+J17+J21+J25+L30+J32+L38</f>
        <v>1</v>
      </c>
      <c r="W47" s="85">
        <f>Q14+R17+R21+R25+Q30+R32+Q38</f>
        <v>1</v>
      </c>
      <c r="X47" s="93">
        <f t="shared" si="1"/>
        <v>4</v>
      </c>
    </row>
    <row r="48" spans="1:24" ht="18.75" customHeight="1" x14ac:dyDescent="0.3">
      <c r="A48" s="145" t="str">
        <f>IF(Scholen!$D$31&lt;&gt;"",Scholen!$D$31,"")</f>
        <v>Widar J3</v>
      </c>
      <c r="B48" s="146"/>
      <c r="C48" s="146"/>
      <c r="D48" s="147"/>
      <c r="E48" s="156">
        <f>IF(AND($J$14&lt;&gt;"",$L$14&lt;&gt;""),IF($J$14&lt;$L$14,3,IF($J$14=$L$14,1,0)),"")</f>
        <v>1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1</v>
      </c>
      <c r="R48" s="85">
        <f t="shared" si="2"/>
        <v>0</v>
      </c>
      <c r="S48" s="85">
        <f t="shared" si="3"/>
        <v>0</v>
      </c>
      <c r="T48" s="85">
        <f t="shared" si="4"/>
        <v>1</v>
      </c>
      <c r="U48" s="85">
        <f>L14+J18+L22+L26+L28+J31+J35</f>
        <v>1</v>
      </c>
      <c r="V48" s="85">
        <f>J14+L18+J22+J26+J28+L31+L35</f>
        <v>1</v>
      </c>
      <c r="W48" s="85">
        <f>+R14+Q18+R22+R26+R28+Q31+Q35</f>
        <v>1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Scholen!$F$22</f>
        <v>Jongens</v>
      </c>
      <c r="F8" s="130"/>
      <c r="G8" s="130"/>
      <c r="H8" s="131" t="s">
        <v>21</v>
      </c>
      <c r="I8" s="132" t="s">
        <v>36</v>
      </c>
      <c r="J8" s="130" t="s">
        <v>25</v>
      </c>
      <c r="K8" s="246">
        <f>Scholen!$G$21</f>
        <v>12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J1</v>
      </c>
      <c r="F11" s="134"/>
      <c r="G11" s="135" t="s">
        <v>11</v>
      </c>
      <c r="H11" s="134" t="str">
        <f>$A$42</f>
        <v>Mozaïek J3</v>
      </c>
      <c r="I11" s="17"/>
      <c r="J11" s="16">
        <v>4</v>
      </c>
      <c r="K11" s="95" t="s">
        <v>11</v>
      </c>
      <c r="L11" s="18">
        <v>0</v>
      </c>
      <c r="M11" s="19" t="str">
        <f>Scheids!$D$17</f>
        <v>Ruud van Oosten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Max J5</v>
      </c>
      <c r="F12" s="25"/>
      <c r="G12" s="23" t="s">
        <v>11</v>
      </c>
      <c r="H12" s="25" t="str">
        <f>$A$44</f>
        <v>Maan J5</v>
      </c>
      <c r="I12" s="26"/>
      <c r="J12" s="22">
        <v>0</v>
      </c>
      <c r="K12" s="27" t="s">
        <v>11</v>
      </c>
      <c r="L12" s="28">
        <v>0</v>
      </c>
      <c r="M12" s="29" t="str">
        <f>Scheids!$D$17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J5</v>
      </c>
      <c r="F13" s="25"/>
      <c r="G13" s="23" t="s">
        <v>11</v>
      </c>
      <c r="H13" s="25" t="str">
        <f>$A$46</f>
        <v>Freinet J5</v>
      </c>
      <c r="I13" s="26"/>
      <c r="J13" s="22">
        <v>3</v>
      </c>
      <c r="K13" s="27" t="s">
        <v>11</v>
      </c>
      <c r="L13" s="28">
        <v>0</v>
      </c>
      <c r="M13" s="29" t="str">
        <f>Scheids!$D$17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Gabriël J5</v>
      </c>
      <c r="F14" s="25"/>
      <c r="G14" s="23"/>
      <c r="H14" s="25" t="str">
        <f>$A$48</f>
        <v>Horizon J1</v>
      </c>
      <c r="I14" s="26"/>
      <c r="J14" s="22">
        <v>3</v>
      </c>
      <c r="K14" s="27" t="s">
        <v>11</v>
      </c>
      <c r="L14" s="28">
        <v>0</v>
      </c>
      <c r="M14" s="29" t="str">
        <f>Scheids!$F$17</f>
        <v>Frank van Dam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Mozaïek J3</v>
      </c>
      <c r="F15" s="25"/>
      <c r="G15" s="23" t="s">
        <v>11</v>
      </c>
      <c r="H15" s="25" t="str">
        <f>$A$43</f>
        <v>Max J5</v>
      </c>
      <c r="I15" s="26"/>
      <c r="J15" s="22">
        <v>3</v>
      </c>
      <c r="K15" s="27" t="s">
        <v>11</v>
      </c>
      <c r="L15" s="28">
        <v>0</v>
      </c>
      <c r="M15" s="29" t="str">
        <f>Scheids!$F$17</f>
        <v>Frank van Dam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J5</v>
      </c>
      <c r="F16" s="25"/>
      <c r="G16" s="23" t="s">
        <v>11</v>
      </c>
      <c r="H16" s="25" t="str">
        <f>$A$45</f>
        <v>Maria J5</v>
      </c>
      <c r="I16" s="26"/>
      <c r="J16" s="22">
        <v>1</v>
      </c>
      <c r="K16" s="27" t="s">
        <v>11</v>
      </c>
      <c r="L16" s="28">
        <v>0</v>
      </c>
      <c r="M16" s="29" t="str">
        <f>Scheids!$F$17</f>
        <v>Frank van Dam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J5</v>
      </c>
      <c r="F17" s="25"/>
      <c r="G17" s="23" t="s">
        <v>11</v>
      </c>
      <c r="H17" s="25" t="str">
        <f>$A$47</f>
        <v>Gabriël J5</v>
      </c>
      <c r="I17" s="26"/>
      <c r="J17" s="22"/>
      <c r="K17" s="27" t="s">
        <v>11</v>
      </c>
      <c r="L17" s="28"/>
      <c r="M17" s="29" t="str">
        <f>Scheids!$D$17</f>
        <v>Ruud van Oosten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Horizon J1</v>
      </c>
      <c r="F18" s="25"/>
      <c r="G18" s="23"/>
      <c r="H18" s="25" t="str">
        <f>$A$41</f>
        <v>DSV J1</v>
      </c>
      <c r="I18" s="26"/>
      <c r="J18" s="22"/>
      <c r="K18" s="27" t="s">
        <v>11</v>
      </c>
      <c r="L18" s="28"/>
      <c r="M18" s="29" t="str">
        <f>Scheids!$D$17</f>
        <v>Ruud van Oosten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J5</v>
      </c>
      <c r="F19" s="25"/>
      <c r="G19" s="23" t="s">
        <v>11</v>
      </c>
      <c r="H19" s="25" t="str">
        <f>$A$42</f>
        <v>Mozaïek J3</v>
      </c>
      <c r="I19" s="26"/>
      <c r="J19" s="22"/>
      <c r="K19" s="27" t="s">
        <v>11</v>
      </c>
      <c r="L19" s="28"/>
      <c r="M19" s="29" t="str">
        <f>Scheids!$D$17</f>
        <v>Ruud van Oosten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Max J5</v>
      </c>
      <c r="F20" s="25"/>
      <c r="G20" s="23" t="s">
        <v>11</v>
      </c>
      <c r="H20" s="25" t="str">
        <f>$A$45</f>
        <v>Maria J5</v>
      </c>
      <c r="I20" s="26"/>
      <c r="J20" s="22"/>
      <c r="K20" s="27" t="s">
        <v>11</v>
      </c>
      <c r="L20" s="28"/>
      <c r="M20" s="29" t="str">
        <f>Scheids!$F$17</f>
        <v>Frank van Dam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J1</v>
      </c>
      <c r="F21" s="25"/>
      <c r="G21" s="23" t="s">
        <v>11</v>
      </c>
      <c r="H21" s="25" t="str">
        <f>$A$47</f>
        <v>Gabriël J5</v>
      </c>
      <c r="I21" s="26"/>
      <c r="J21" s="22"/>
      <c r="K21" s="27" t="s">
        <v>11</v>
      </c>
      <c r="L21" s="28"/>
      <c r="M21" s="29" t="str">
        <f>Scheids!$F$17</f>
        <v>Frank van Dam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Freinet J5</v>
      </c>
      <c r="F22" s="25"/>
      <c r="G22" s="23"/>
      <c r="H22" s="25" t="str">
        <f>$A$48</f>
        <v>Horizon J1</v>
      </c>
      <c r="I22" s="26"/>
      <c r="J22" s="22"/>
      <c r="K22" s="27" t="s">
        <v>11</v>
      </c>
      <c r="L22" s="28"/>
      <c r="M22" s="29" t="str">
        <f>Scheids!$F$17</f>
        <v>Frank van Dam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J1</v>
      </c>
      <c r="F23" s="25"/>
      <c r="G23" s="23" t="s">
        <v>11</v>
      </c>
      <c r="H23" s="25" t="str">
        <f>$A$43</f>
        <v>Max J5</v>
      </c>
      <c r="I23" s="26"/>
      <c r="J23" s="22"/>
      <c r="K23" s="27" t="s">
        <v>11</v>
      </c>
      <c r="L23" s="28"/>
      <c r="M23" s="29" t="str">
        <f>Scheids!$D$17</f>
        <v>Ruud van Oosten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J5</v>
      </c>
      <c r="F24" s="25"/>
      <c r="G24" s="23" t="s">
        <v>11</v>
      </c>
      <c r="H24" s="25" t="str">
        <f>$A$44</f>
        <v>Maan J5</v>
      </c>
      <c r="I24" s="26"/>
      <c r="J24" s="22"/>
      <c r="K24" s="27" t="s">
        <v>11</v>
      </c>
      <c r="L24" s="28"/>
      <c r="M24" s="29" t="str">
        <f>Scheids!$D$17</f>
        <v>Ruud van Oosten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Mozaïek J3</v>
      </c>
      <c r="F25" s="25"/>
      <c r="G25" s="23" t="s">
        <v>11</v>
      </c>
      <c r="H25" s="25" t="str">
        <f>$A$47</f>
        <v>Gabriël J5</v>
      </c>
      <c r="I25" s="26"/>
      <c r="J25" s="22"/>
      <c r="K25" s="27" t="s">
        <v>11</v>
      </c>
      <c r="L25" s="28"/>
      <c r="M25" s="29" t="str">
        <f>Scheids!$D$17</f>
        <v>Ruud van Oosten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Maria J5</v>
      </c>
      <c r="F26" s="25"/>
      <c r="G26" s="23"/>
      <c r="H26" s="25" t="str">
        <f>$A$48</f>
        <v>Horizon J1</v>
      </c>
      <c r="I26" s="26"/>
      <c r="J26" s="22"/>
      <c r="K26" s="27" t="s">
        <v>11</v>
      </c>
      <c r="L26" s="28"/>
      <c r="M26" s="29" t="str">
        <f>Scheids!$F$17</f>
        <v>Frank van Dam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Max J5</v>
      </c>
      <c r="F27" s="25"/>
      <c r="G27" s="23" t="s">
        <v>11</v>
      </c>
      <c r="H27" s="25" t="str">
        <f>$A$46</f>
        <v>Freinet J5</v>
      </c>
      <c r="I27" s="26"/>
      <c r="J27" s="22"/>
      <c r="K27" s="27" t="s">
        <v>11</v>
      </c>
      <c r="L27" s="28"/>
      <c r="M27" s="29" t="str">
        <f>Scheids!$F$17</f>
        <v>Frank van Dam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Mozaïek J3</v>
      </c>
      <c r="F28" s="25"/>
      <c r="G28" s="23"/>
      <c r="H28" s="25" t="str">
        <f>$A$48</f>
        <v>Horizon J1</v>
      </c>
      <c r="I28" s="26"/>
      <c r="J28" s="22"/>
      <c r="K28" s="27" t="s">
        <v>11</v>
      </c>
      <c r="L28" s="28"/>
      <c r="M28" s="29" t="str">
        <f>Scheids!$F$17</f>
        <v>Frank van Dam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J5</v>
      </c>
      <c r="F29" s="25"/>
      <c r="G29" s="23" t="s">
        <v>11</v>
      </c>
      <c r="H29" s="25" t="str">
        <f>$A$41</f>
        <v>DSV J1</v>
      </c>
      <c r="I29" s="26"/>
      <c r="J29" s="22"/>
      <c r="K29" s="27" t="s">
        <v>11</v>
      </c>
      <c r="L29" s="28"/>
      <c r="M29" s="29" t="str">
        <f>Scheids!$D$17</f>
        <v>Ruud van Oosten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Gabriël J5</v>
      </c>
      <c r="F30" s="25"/>
      <c r="G30" s="23" t="s">
        <v>11</v>
      </c>
      <c r="H30" s="25" t="str">
        <f>$A$45</f>
        <v>Maria J5</v>
      </c>
      <c r="I30" s="26"/>
      <c r="J30" s="22"/>
      <c r="K30" s="27" t="s">
        <v>11</v>
      </c>
      <c r="L30" s="28"/>
      <c r="M30" s="29" t="str">
        <f>Scheids!$D$17</f>
        <v>Ruud van Oosten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Horizon J1</v>
      </c>
      <c r="F31" s="25"/>
      <c r="G31" s="23"/>
      <c r="H31" s="25" t="str">
        <f>$A$44</f>
        <v>Maan J5</v>
      </c>
      <c r="I31" s="26"/>
      <c r="J31" s="22"/>
      <c r="K31" s="27" t="s">
        <v>11</v>
      </c>
      <c r="L31" s="28"/>
      <c r="M31" s="29" t="str">
        <f>Scheids!$D$17</f>
        <v>Ruud van Oosten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Max J5</v>
      </c>
      <c r="F32" s="25"/>
      <c r="G32" s="23" t="s">
        <v>11</v>
      </c>
      <c r="H32" s="25" t="str">
        <f>$A$47</f>
        <v>Gabriël J5</v>
      </c>
      <c r="I32" s="26"/>
      <c r="J32" s="22"/>
      <c r="K32" s="27" t="s">
        <v>11</v>
      </c>
      <c r="L32" s="28"/>
      <c r="M32" s="29" t="str">
        <f>Scheids!$F$17</f>
        <v>Frank van Dam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Mozaïek J3</v>
      </c>
      <c r="F33" s="25"/>
      <c r="G33" s="23" t="s">
        <v>11</v>
      </c>
      <c r="H33" s="25" t="str">
        <f>$A$46</f>
        <v>Freinet J5</v>
      </c>
      <c r="I33" s="26"/>
      <c r="J33" s="22"/>
      <c r="K33" s="27" t="s">
        <v>11</v>
      </c>
      <c r="L33" s="28"/>
      <c r="M33" s="29" t="str">
        <f>Scheids!$F$17</f>
        <v>Frank van Dam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J1</v>
      </c>
      <c r="F34" s="25"/>
      <c r="G34" s="23" t="s">
        <v>11</v>
      </c>
      <c r="H34" s="25" t="str">
        <f>$A$45</f>
        <v>Maria J5</v>
      </c>
      <c r="I34" s="26"/>
      <c r="J34" s="22"/>
      <c r="K34" s="27" t="s">
        <v>11</v>
      </c>
      <c r="L34" s="28"/>
      <c r="M34" s="29" t="str">
        <f>Scheids!$F$17</f>
        <v>Frank van Dam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Horizon J1</v>
      </c>
      <c r="F35" s="25"/>
      <c r="G35" s="23"/>
      <c r="H35" s="25" t="str">
        <f>$A$43</f>
        <v>Max J5</v>
      </c>
      <c r="I35" s="26"/>
      <c r="J35" s="22"/>
      <c r="K35" s="27" t="s">
        <v>11</v>
      </c>
      <c r="L35" s="28"/>
      <c r="M35" s="29" t="str">
        <f>Scheids!$D$17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J5</v>
      </c>
      <c r="F36" s="25"/>
      <c r="G36" s="23" t="s">
        <v>11</v>
      </c>
      <c r="H36" s="25" t="str">
        <f>$A$41</f>
        <v>DSV J1</v>
      </c>
      <c r="I36" s="26"/>
      <c r="J36" s="22"/>
      <c r="K36" s="27" t="s">
        <v>11</v>
      </c>
      <c r="L36" s="28"/>
      <c r="M36" s="29" t="str">
        <f>Scheids!$D$17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J5</v>
      </c>
      <c r="F37" s="25"/>
      <c r="G37" s="23" t="s">
        <v>11</v>
      </c>
      <c r="H37" s="25" t="str">
        <f>$A$42</f>
        <v>Mozaïek J3</v>
      </c>
      <c r="I37" s="26"/>
      <c r="J37" s="22"/>
      <c r="K37" s="27" t="s">
        <v>11</v>
      </c>
      <c r="L37" s="28"/>
      <c r="M37" s="29" t="str">
        <f>Scheids!$F$17</f>
        <v>Frank van Dam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Gabriël J5</v>
      </c>
      <c r="F38" s="36"/>
      <c r="G38" s="34" t="s">
        <v>11</v>
      </c>
      <c r="H38" s="36" t="str">
        <f>$A$44</f>
        <v>Maan J5</v>
      </c>
      <c r="I38" s="37"/>
      <c r="J38" s="33"/>
      <c r="K38" s="38" t="s">
        <v>11</v>
      </c>
      <c r="L38" s="39"/>
      <c r="M38" s="120" t="str">
        <f>Scheids!$F$17</f>
        <v>Frank van Dam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Scholen!$F$24</f>
        <v>DSV J1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4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Scholen!$F$25</f>
        <v>Mozaïek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2</v>
      </c>
      <c r="R42" s="85">
        <f t="shared" ref="R42:R48" si="2">COUNTIFS(E42:N42,3)</f>
        <v>1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4</v>
      </c>
      <c r="W42" s="85">
        <f>R11+Q15+R19+Q25+Q28+Q33+R37</f>
        <v>3</v>
      </c>
      <c r="X42" s="93">
        <f t="shared" si="1"/>
        <v>2</v>
      </c>
    </row>
    <row r="43" spans="1:24" ht="18.75" customHeight="1" x14ac:dyDescent="0.3">
      <c r="A43" s="145" t="str">
        <f>Scholen!$F$26</f>
        <v>Max J5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2</v>
      </c>
      <c r="R43" s="85">
        <f t="shared" si="2"/>
        <v>0</v>
      </c>
      <c r="S43" s="85">
        <f t="shared" si="3"/>
        <v>1</v>
      </c>
      <c r="T43" s="85">
        <f t="shared" si="4"/>
        <v>1</v>
      </c>
      <c r="U43" s="85">
        <f>J12+L15+J20+L23+J27+J32+L35</f>
        <v>0</v>
      </c>
      <c r="V43" s="85">
        <f>L12+J15+L20+J23+L27+L32+J35</f>
        <v>3</v>
      </c>
      <c r="W43" s="85">
        <f>Q12+R15+Q20+R23+Q27+Q32+R35</f>
        <v>3</v>
      </c>
      <c r="X43" s="93">
        <f t="shared" si="1"/>
        <v>6</v>
      </c>
    </row>
    <row r="44" spans="1:24" ht="18.75" customHeight="1" x14ac:dyDescent="0.3">
      <c r="A44" s="152" t="str">
        <f>Scholen!$F$27</f>
        <v>Maan J5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2</v>
      </c>
      <c r="R44" s="85">
        <f t="shared" si="2"/>
        <v>1</v>
      </c>
      <c r="S44" s="85">
        <f t="shared" si="3"/>
        <v>0</v>
      </c>
      <c r="T44" s="85">
        <f t="shared" si="4"/>
        <v>1</v>
      </c>
      <c r="U44" s="85">
        <f>L12+J16+J19+L24+J29+L31+L38</f>
        <v>1</v>
      </c>
      <c r="V44" s="85">
        <f>J12+L16+L19+J24+L29+J31+J38</f>
        <v>0</v>
      </c>
      <c r="W44" s="85">
        <f>R12+Q16+Q19+R24+Q29+R31+R38</f>
        <v>3</v>
      </c>
      <c r="X44" s="93">
        <f t="shared" si="1"/>
        <v>1</v>
      </c>
    </row>
    <row r="45" spans="1:24" ht="18.75" customHeight="1" x14ac:dyDescent="0.3">
      <c r="A45" s="145" t="str">
        <f>Scholen!$F$28</f>
        <v>Maria J5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3</v>
      </c>
      <c r="V45" s="85">
        <f>L13+J16+J20+L26+J30+J34+L37</f>
        <v>1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5" t="str">
        <f>Scholen!$F$29</f>
        <v>Freinet J5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3</v>
      </c>
      <c r="W46" s="85">
        <f>R13+Q17+Q22+Q24+R27+R33+Q36</f>
        <v>2</v>
      </c>
      <c r="X46" s="93">
        <f t="shared" si="1"/>
        <v>7</v>
      </c>
    </row>
    <row r="47" spans="1:24" ht="18.75" customHeight="1" x14ac:dyDescent="0.3">
      <c r="A47" s="145" t="str">
        <f>IF(Scholen!$F$30&lt;&gt;"",Scholen!$F$30,"")</f>
        <v>Gabriël J5</v>
      </c>
      <c r="B47" s="146"/>
      <c r="C47" s="146"/>
      <c r="D47" s="147"/>
      <c r="E47" s="159">
        <f>IF(AND($J$14&lt;&gt;"",$L$14&lt;&gt;""),IF($J$14&gt;$L$14,3,IF($J$14=$L$14,1,0)),"")</f>
        <v>3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1</v>
      </c>
      <c r="R47" s="85">
        <f t="shared" si="2"/>
        <v>1</v>
      </c>
      <c r="S47" s="85">
        <f t="shared" si="3"/>
        <v>0</v>
      </c>
      <c r="T47" s="85">
        <f t="shared" si="4"/>
        <v>0</v>
      </c>
      <c r="U47" s="85">
        <f>J14+L17+L21+L25+J30+L32+J38</f>
        <v>3</v>
      </c>
      <c r="V47" s="85">
        <f>L14+J17+J21+J25+L30+J32+L38</f>
        <v>0</v>
      </c>
      <c r="W47" s="85">
        <f>Q14+R17+R21+R25+Q30+R32+Q38</f>
        <v>2</v>
      </c>
      <c r="X47" s="93">
        <f t="shared" si="1"/>
        <v>2</v>
      </c>
    </row>
    <row r="48" spans="1:24" ht="18.75" customHeight="1" x14ac:dyDescent="0.3">
      <c r="A48" s="145" t="str">
        <f>IF(Scholen!$F$31&lt;&gt;"",Scholen!$F$31,"")</f>
        <v>Horizon J1</v>
      </c>
      <c r="B48" s="146"/>
      <c r="C48" s="146"/>
      <c r="D48" s="147"/>
      <c r="E48" s="156">
        <f>IF(AND($J$14&lt;&gt;"",$L$14&lt;&gt;""),IF($J$14&lt;$L$14,3,IF($J$14=$L$14,1,0)),"")</f>
        <v>0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0</v>
      </c>
      <c r="Q48" s="85">
        <f t="shared" si="0"/>
        <v>1</v>
      </c>
      <c r="R48" s="85">
        <f t="shared" si="2"/>
        <v>0</v>
      </c>
      <c r="S48" s="85">
        <f t="shared" si="3"/>
        <v>1</v>
      </c>
      <c r="T48" s="85">
        <f t="shared" si="4"/>
        <v>0</v>
      </c>
      <c r="U48" s="85">
        <f>L14+J18+L22+L26+L28+J31+J35</f>
        <v>0</v>
      </c>
      <c r="V48" s="85">
        <f>J14+L18+J22+J26+J28+L31+L35</f>
        <v>3</v>
      </c>
      <c r="W48" s="85">
        <f>+R14+Q18+R22+R26+R28+Q31+Q35</f>
        <v>1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Scholen!$H$22</f>
        <v>Jongens</v>
      </c>
      <c r="F8" s="130"/>
      <c r="G8" s="130"/>
      <c r="H8" s="131" t="s">
        <v>21</v>
      </c>
      <c r="I8" s="132" t="s">
        <v>37</v>
      </c>
      <c r="J8" s="130" t="s">
        <v>25</v>
      </c>
      <c r="K8" s="246">
        <f>Scholen!$I$21</f>
        <v>13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Talent J5</v>
      </c>
      <c r="F11" s="134"/>
      <c r="G11" s="135" t="s">
        <v>11</v>
      </c>
      <c r="H11" s="134" t="str">
        <f>$A$42</f>
        <v>Regenboog J2</v>
      </c>
      <c r="I11" s="17"/>
      <c r="J11" s="16">
        <v>0</v>
      </c>
      <c r="K11" s="95" t="s">
        <v>11</v>
      </c>
      <c r="L11" s="18">
        <v>3</v>
      </c>
      <c r="M11" s="19" t="str">
        <f>Scheids!$D$18</f>
        <v>Louis vd Weijde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Mozaïek J4</v>
      </c>
      <c r="F12" s="25"/>
      <c r="G12" s="23" t="s">
        <v>11</v>
      </c>
      <c r="H12" s="25" t="str">
        <f>$A$44</f>
        <v>DSV J2</v>
      </c>
      <c r="I12" s="26"/>
      <c r="J12" s="22">
        <v>5</v>
      </c>
      <c r="K12" s="27" t="s">
        <v>11</v>
      </c>
      <c r="L12" s="28">
        <v>0</v>
      </c>
      <c r="M12" s="29" t="str">
        <f>Scheids!$D$18</f>
        <v>Louis vd Weijde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Maurits J1</v>
      </c>
      <c r="F13" s="25"/>
      <c r="G13" s="23" t="s">
        <v>11</v>
      </c>
      <c r="H13" s="25" t="str">
        <f>$A$46</f>
        <v>Maria J6</v>
      </c>
      <c r="I13" s="26"/>
      <c r="J13" s="22">
        <v>0</v>
      </c>
      <c r="K13" s="27" t="s">
        <v>11</v>
      </c>
      <c r="L13" s="28">
        <v>1</v>
      </c>
      <c r="M13" s="29" t="str">
        <f>Scheids!$D$18</f>
        <v>Louis vd Weijde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J6</v>
      </c>
      <c r="F14" s="25"/>
      <c r="G14" s="23"/>
      <c r="H14" s="25" t="str">
        <f>$A$48</f>
        <v>Rembrandt J1</v>
      </c>
      <c r="I14" s="26"/>
      <c r="J14" s="22">
        <v>0</v>
      </c>
      <c r="K14" s="27" t="s">
        <v>11</v>
      </c>
      <c r="L14" s="28">
        <v>1</v>
      </c>
      <c r="M14" s="29" t="str">
        <f>Scheids!$F$18</f>
        <v>Gennaro vd Kan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Regenboog J2</v>
      </c>
      <c r="F15" s="25"/>
      <c r="G15" s="23" t="s">
        <v>11</v>
      </c>
      <c r="H15" s="25" t="str">
        <f>$A$43</f>
        <v>Mozaïek J4</v>
      </c>
      <c r="I15" s="26"/>
      <c r="J15" s="22">
        <v>5</v>
      </c>
      <c r="K15" s="27" t="s">
        <v>11</v>
      </c>
      <c r="L15" s="28">
        <v>1</v>
      </c>
      <c r="M15" s="29" t="str">
        <f>Scheids!$F$18</f>
        <v>Gennaro vd Kan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DSV J2</v>
      </c>
      <c r="F16" s="25"/>
      <c r="G16" s="23" t="s">
        <v>11</v>
      </c>
      <c r="H16" s="25" t="str">
        <f>$A$45</f>
        <v>Maurits J1</v>
      </c>
      <c r="I16" s="26"/>
      <c r="J16" s="22">
        <v>0</v>
      </c>
      <c r="K16" s="27" t="s">
        <v>11</v>
      </c>
      <c r="L16" s="28">
        <v>4</v>
      </c>
      <c r="M16" s="29" t="str">
        <f>Scheids!$F$18</f>
        <v>Gennaro vd Kan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Freinet J6</v>
      </c>
      <c r="I17" s="26"/>
      <c r="J17" s="22"/>
      <c r="K17" s="27" t="s">
        <v>11</v>
      </c>
      <c r="L17" s="28"/>
      <c r="M17" s="29" t="str">
        <f>Scheids!$D$18</f>
        <v>Louis vd Weijde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Rembrandt J1</v>
      </c>
      <c r="F18" s="25"/>
      <c r="G18" s="23"/>
      <c r="H18" s="25" t="str">
        <f>$A$41</f>
        <v>Talent J5</v>
      </c>
      <c r="I18" s="26"/>
      <c r="J18" s="22"/>
      <c r="K18" s="27" t="s">
        <v>11</v>
      </c>
      <c r="L18" s="28"/>
      <c r="M18" s="29" t="str">
        <f>Scheids!$D$18</f>
        <v>Louis vd Weijde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DSV J2</v>
      </c>
      <c r="F19" s="25"/>
      <c r="G19" s="23" t="s">
        <v>11</v>
      </c>
      <c r="H19" s="25" t="str">
        <f>$A$42</f>
        <v>Regenboog J2</v>
      </c>
      <c r="I19" s="26"/>
      <c r="J19" s="22"/>
      <c r="K19" s="27" t="s">
        <v>11</v>
      </c>
      <c r="L19" s="28"/>
      <c r="M19" s="29" t="str">
        <f>Scheids!$D$18</f>
        <v>Louis vd Weijde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Mozaïek J4</v>
      </c>
      <c r="F20" s="25"/>
      <c r="G20" s="23" t="s">
        <v>11</v>
      </c>
      <c r="H20" s="25" t="str">
        <f>$A$45</f>
        <v>Maurits J1</v>
      </c>
      <c r="I20" s="26"/>
      <c r="J20" s="22"/>
      <c r="K20" s="27" t="s">
        <v>11</v>
      </c>
      <c r="L20" s="28"/>
      <c r="M20" s="29" t="str">
        <f>Scheids!$F$18</f>
        <v>Gennaro vd Kan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Talent J5</v>
      </c>
      <c r="F21" s="25"/>
      <c r="G21" s="23" t="s">
        <v>11</v>
      </c>
      <c r="H21" s="25" t="str">
        <f>$A$47</f>
        <v>Freinet J6</v>
      </c>
      <c r="I21" s="26"/>
      <c r="J21" s="22"/>
      <c r="K21" s="27" t="s">
        <v>11</v>
      </c>
      <c r="L21" s="28"/>
      <c r="M21" s="29" t="str">
        <f>Scheids!$F$18</f>
        <v>Gennaro vd Kan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Maria J6</v>
      </c>
      <c r="F22" s="25"/>
      <c r="G22" s="23"/>
      <c r="H22" s="25" t="str">
        <f>$A$48</f>
        <v>Rembrandt J1</v>
      </c>
      <c r="I22" s="26"/>
      <c r="J22" s="22"/>
      <c r="K22" s="27" t="s">
        <v>11</v>
      </c>
      <c r="L22" s="28"/>
      <c r="M22" s="29" t="str">
        <f>Scheids!$F$18</f>
        <v>Gennaro vd Kan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Talent J5</v>
      </c>
      <c r="F23" s="25"/>
      <c r="G23" s="23" t="s">
        <v>11</v>
      </c>
      <c r="H23" s="25" t="str">
        <f>$A$43</f>
        <v>Mozaïek J4</v>
      </c>
      <c r="I23" s="26"/>
      <c r="J23" s="22"/>
      <c r="K23" s="27" t="s">
        <v>11</v>
      </c>
      <c r="L23" s="28"/>
      <c r="M23" s="29" t="str">
        <f>Scheids!$D$18</f>
        <v>Louis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DSV J2</v>
      </c>
      <c r="I24" s="26"/>
      <c r="J24" s="22"/>
      <c r="K24" s="27" t="s">
        <v>11</v>
      </c>
      <c r="L24" s="28"/>
      <c r="M24" s="29" t="str">
        <f>Scheids!$D$18</f>
        <v>Louis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Regenboog J2</v>
      </c>
      <c r="F25" s="25"/>
      <c r="G25" s="23" t="s">
        <v>11</v>
      </c>
      <c r="H25" s="25" t="str">
        <f>$A$47</f>
        <v>Freinet J6</v>
      </c>
      <c r="I25" s="26"/>
      <c r="J25" s="22"/>
      <c r="K25" s="27" t="s">
        <v>11</v>
      </c>
      <c r="L25" s="28"/>
      <c r="M25" s="29" t="str">
        <f>Scheids!$D$18</f>
        <v>Louis vd Weijde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Maurits J1</v>
      </c>
      <c r="F26" s="25"/>
      <c r="G26" s="23"/>
      <c r="H26" s="25" t="str">
        <f>$A$48</f>
        <v>Rembrandt J1</v>
      </c>
      <c r="I26" s="26"/>
      <c r="J26" s="22"/>
      <c r="K26" s="27" t="s">
        <v>11</v>
      </c>
      <c r="L26" s="28"/>
      <c r="M26" s="29" t="str">
        <f>Scheids!$F$18</f>
        <v>Gennaro vd Kan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Mozaïek J4</v>
      </c>
      <c r="F27" s="25"/>
      <c r="G27" s="23" t="s">
        <v>11</v>
      </c>
      <c r="H27" s="25" t="str">
        <f>$A$46</f>
        <v>Maria J6</v>
      </c>
      <c r="I27" s="26"/>
      <c r="J27" s="22"/>
      <c r="K27" s="27" t="s">
        <v>11</v>
      </c>
      <c r="L27" s="28"/>
      <c r="M27" s="29" t="str">
        <f>Scheids!$F$18</f>
        <v>Gennaro vd Kan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Regenboog J2</v>
      </c>
      <c r="F28" s="25"/>
      <c r="G28" s="23"/>
      <c r="H28" s="25" t="str">
        <f>$A$48</f>
        <v>Rembrandt J1</v>
      </c>
      <c r="I28" s="26"/>
      <c r="J28" s="22"/>
      <c r="K28" s="27" t="s">
        <v>11</v>
      </c>
      <c r="L28" s="28"/>
      <c r="M28" s="29" t="str">
        <f>Scheids!$F$18</f>
        <v>Gennaro vd Kan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DSV J2</v>
      </c>
      <c r="F29" s="25"/>
      <c r="G29" s="23" t="s">
        <v>11</v>
      </c>
      <c r="H29" s="25" t="str">
        <f>$A$41</f>
        <v>Talent J5</v>
      </c>
      <c r="I29" s="26"/>
      <c r="J29" s="22"/>
      <c r="K29" s="27" t="s">
        <v>11</v>
      </c>
      <c r="L29" s="28"/>
      <c r="M29" s="29" t="str">
        <f>Scheids!$D$18</f>
        <v>Louis vd Weijde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J6</v>
      </c>
      <c r="F30" s="25"/>
      <c r="G30" s="23" t="s">
        <v>11</v>
      </c>
      <c r="H30" s="25" t="str">
        <f>$A$45</f>
        <v>Maurits J1</v>
      </c>
      <c r="I30" s="26"/>
      <c r="J30" s="22"/>
      <c r="K30" s="27" t="s">
        <v>11</v>
      </c>
      <c r="L30" s="28"/>
      <c r="M30" s="29" t="str">
        <f>Scheids!$D$18</f>
        <v>Louis vd Weijde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Rembrandt J1</v>
      </c>
      <c r="F31" s="25"/>
      <c r="G31" s="23"/>
      <c r="H31" s="25" t="str">
        <f>$A$44</f>
        <v>DSV J2</v>
      </c>
      <c r="I31" s="26"/>
      <c r="J31" s="22"/>
      <c r="K31" s="27" t="s">
        <v>11</v>
      </c>
      <c r="L31" s="28"/>
      <c r="M31" s="29" t="str">
        <f>Scheids!$D$18</f>
        <v>Louis vd Weijde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Mozaïek J4</v>
      </c>
      <c r="F32" s="25"/>
      <c r="G32" s="23" t="s">
        <v>11</v>
      </c>
      <c r="H32" s="25" t="str">
        <f>$A$47</f>
        <v>Freinet J6</v>
      </c>
      <c r="I32" s="26"/>
      <c r="J32" s="22"/>
      <c r="K32" s="27" t="s">
        <v>11</v>
      </c>
      <c r="L32" s="28"/>
      <c r="M32" s="29" t="str">
        <f>Scheids!$F$18</f>
        <v>Gennaro vd Kan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Regenboog J2</v>
      </c>
      <c r="F33" s="25"/>
      <c r="G33" s="23" t="s">
        <v>11</v>
      </c>
      <c r="H33" s="25" t="str">
        <f>$A$46</f>
        <v>Maria J6</v>
      </c>
      <c r="I33" s="26"/>
      <c r="J33" s="22"/>
      <c r="K33" s="27" t="s">
        <v>11</v>
      </c>
      <c r="L33" s="28"/>
      <c r="M33" s="29" t="str">
        <f>Scheids!$F$18</f>
        <v>Gennaro vd Kan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Talent J5</v>
      </c>
      <c r="F34" s="25"/>
      <c r="G34" s="23" t="s">
        <v>11</v>
      </c>
      <c r="H34" s="25" t="str">
        <f>$A$45</f>
        <v>Maurits J1</v>
      </c>
      <c r="I34" s="26"/>
      <c r="J34" s="22"/>
      <c r="K34" s="27" t="s">
        <v>11</v>
      </c>
      <c r="L34" s="28"/>
      <c r="M34" s="29" t="str">
        <f>Scheids!$F$18</f>
        <v>Gennaro vd Kan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Rembrandt J1</v>
      </c>
      <c r="F35" s="25"/>
      <c r="G35" s="23"/>
      <c r="H35" s="25" t="str">
        <f>$A$43</f>
        <v>Mozaïek J4</v>
      </c>
      <c r="I35" s="26"/>
      <c r="J35" s="22"/>
      <c r="K35" s="27" t="s">
        <v>11</v>
      </c>
      <c r="L35" s="28"/>
      <c r="M35" s="29" t="str">
        <f>Scheids!$D$18</f>
        <v>Louis vd Weijde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Talent J5</v>
      </c>
      <c r="I36" s="26"/>
      <c r="J36" s="22"/>
      <c r="K36" s="27" t="s">
        <v>11</v>
      </c>
      <c r="L36" s="28"/>
      <c r="M36" s="29" t="str">
        <f>Scheids!$D$18</f>
        <v>Louis vd Weijde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Maurits J1</v>
      </c>
      <c r="F37" s="25"/>
      <c r="G37" s="23" t="s">
        <v>11</v>
      </c>
      <c r="H37" s="25" t="str">
        <f>$A$42</f>
        <v>Regenboog J2</v>
      </c>
      <c r="I37" s="26"/>
      <c r="J37" s="22"/>
      <c r="K37" s="27" t="s">
        <v>11</v>
      </c>
      <c r="L37" s="28"/>
      <c r="M37" s="29" t="str">
        <f>Scheids!$F$18</f>
        <v>Gennaro vd Kan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J6</v>
      </c>
      <c r="F38" s="36"/>
      <c r="G38" s="34" t="s">
        <v>11</v>
      </c>
      <c r="H38" s="36" t="str">
        <f>$A$44</f>
        <v>DSV J2</v>
      </c>
      <c r="I38" s="37"/>
      <c r="J38" s="33"/>
      <c r="K38" s="38" t="s">
        <v>11</v>
      </c>
      <c r="L38" s="39"/>
      <c r="M38" s="120" t="str">
        <f>Scheids!$F$18</f>
        <v>Gennaro vd Kan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Scholen!$H$24</f>
        <v>Talent J5</v>
      </c>
      <c r="B41" s="146"/>
      <c r="C41" s="146"/>
      <c r="D41" s="147"/>
      <c r="E41" s="148">
        <f>IF(AND($J$11&lt;&gt;"", $L$11&lt;&gt;""),IF($J$11&gt;$L$11,3,IF($J$11=$L$11,1,0)),"")</f>
        <v>0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3</v>
      </c>
      <c r="W41" s="85">
        <f>Q11+R18+Q21+Q23+R29+Q34+R36</f>
        <v>1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Scholen!$H$25</f>
        <v>Regenboog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2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8</v>
      </c>
      <c r="V42" s="85">
        <f>J11+L15+J19+L25+L28+L33+J37</f>
        <v>1</v>
      </c>
      <c r="W42" s="85">
        <f>R11+Q15+R19+Q25+Q28+Q33+R37</f>
        <v>2</v>
      </c>
      <c r="X42" s="93">
        <f t="shared" si="1"/>
        <v>1</v>
      </c>
    </row>
    <row r="43" spans="1:24" ht="18.75" customHeight="1" x14ac:dyDescent="0.3">
      <c r="A43" s="145" t="str">
        <f>Scholen!$H$26</f>
        <v>Mozaïek J4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2</v>
      </c>
      <c r="R43" s="85">
        <f t="shared" si="2"/>
        <v>1</v>
      </c>
      <c r="S43" s="85">
        <f t="shared" si="3"/>
        <v>1</v>
      </c>
      <c r="T43" s="85">
        <f t="shared" si="4"/>
        <v>0</v>
      </c>
      <c r="U43" s="85">
        <f>J12+L15+J20+L23+J27+J32+L35</f>
        <v>6</v>
      </c>
      <c r="V43" s="85">
        <f>L12+J15+L20+J23+L27+L32+J35</f>
        <v>5</v>
      </c>
      <c r="W43" s="85">
        <f>Q12+R15+Q20+R23+Q27+Q32+R35</f>
        <v>2</v>
      </c>
      <c r="X43" s="93">
        <f t="shared" si="1"/>
        <v>2</v>
      </c>
    </row>
    <row r="44" spans="1:24" ht="18.75" customHeight="1" x14ac:dyDescent="0.3">
      <c r="A44" s="157" t="str">
        <f>Scholen!$H$27</f>
        <v>DSV J2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2</v>
      </c>
      <c r="R44" s="85">
        <f t="shared" si="2"/>
        <v>0</v>
      </c>
      <c r="S44" s="85">
        <f t="shared" si="3"/>
        <v>2</v>
      </c>
      <c r="T44" s="85">
        <f t="shared" si="4"/>
        <v>0</v>
      </c>
      <c r="U44" s="85">
        <f>L12+J16+J19+L24+J29+L31+L38</f>
        <v>0</v>
      </c>
      <c r="V44" s="85">
        <f>J12+L16+L19+J24+L29+J31+J38</f>
        <v>9</v>
      </c>
      <c r="W44" s="85">
        <f>R12+Q16+Q19+R24+Q29+R31+R38</f>
        <v>2</v>
      </c>
      <c r="X44" s="93">
        <f t="shared" si="1"/>
        <v>6</v>
      </c>
    </row>
    <row r="45" spans="1:24" ht="18.75" customHeight="1" x14ac:dyDescent="0.3">
      <c r="A45" s="145" t="str">
        <f>Scholen!$H$28</f>
        <v>Maurits J1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4</v>
      </c>
      <c r="V45" s="85">
        <f>L13+J16+J20+L26+J30+J34+L37</f>
        <v>1</v>
      </c>
      <c r="W45" s="85">
        <f>Q13+R16+R20+Q26+R30+R34+Q37</f>
        <v>2</v>
      </c>
      <c r="X45" s="93">
        <f t="shared" si="1"/>
        <v>2</v>
      </c>
    </row>
    <row r="46" spans="1:24" ht="18.75" customHeight="1" x14ac:dyDescent="0.3">
      <c r="A46" s="145" t="str">
        <f>Scholen!$H$29</f>
        <v>Maria J6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1</v>
      </c>
      <c r="X46" s="93">
        <f t="shared" si="1"/>
        <v>2</v>
      </c>
    </row>
    <row r="47" spans="1:24" ht="18.75" customHeight="1" x14ac:dyDescent="0.3">
      <c r="A47" s="145" t="str">
        <f>IF(Scholen!$H$30&lt;&gt;"",Scholen!$H$30,"")</f>
        <v>Freinet J6</v>
      </c>
      <c r="B47" s="146"/>
      <c r="C47" s="146"/>
      <c r="D47" s="147"/>
      <c r="E47" s="159">
        <f>IF(AND($J$14&lt;&gt;"",$L$14&lt;&gt;""),IF($J$14&gt;$L$14,3,IF($J$14=$L$14,1,0)),"")</f>
        <v>0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1</v>
      </c>
      <c r="R47" s="85">
        <f t="shared" si="2"/>
        <v>0</v>
      </c>
      <c r="S47" s="85">
        <f t="shared" si="3"/>
        <v>1</v>
      </c>
      <c r="T47" s="85">
        <f t="shared" si="4"/>
        <v>0</v>
      </c>
      <c r="U47" s="85">
        <f>J14+L17+L21+L25+J30+L32+J38</f>
        <v>0</v>
      </c>
      <c r="V47" s="85">
        <f>L14+J17+J21+J25+L30+J32+L38</f>
        <v>1</v>
      </c>
      <c r="W47" s="85">
        <f>Q14+R17+R21+R25+Q30+R32+Q38</f>
        <v>1</v>
      </c>
      <c r="X47" s="93">
        <f t="shared" si="1"/>
        <v>6</v>
      </c>
    </row>
    <row r="48" spans="1:24" ht="18.75" customHeight="1" x14ac:dyDescent="0.3">
      <c r="A48" s="145" t="str">
        <f>IF(Scholen!$H$31&lt;&gt;"",Scholen!$H$31,"")</f>
        <v>Rembrandt J1</v>
      </c>
      <c r="B48" s="146"/>
      <c r="C48" s="146"/>
      <c r="D48" s="147"/>
      <c r="E48" s="156">
        <f>IF(AND($J$14&lt;&gt;"",$L$14&lt;&gt;""),IF($J$14&lt;$L$14,3,IF($J$14=$L$14,1,0)),"")</f>
        <v>3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3</v>
      </c>
      <c r="Q48" s="85">
        <f t="shared" si="0"/>
        <v>1</v>
      </c>
      <c r="R48" s="85">
        <f t="shared" si="2"/>
        <v>1</v>
      </c>
      <c r="S48" s="85">
        <f t="shared" si="3"/>
        <v>0</v>
      </c>
      <c r="T48" s="85">
        <f t="shared" si="4"/>
        <v>0</v>
      </c>
      <c r="U48" s="85">
        <f>L14+J18+L22+L26+L28+J31+J35</f>
        <v>1</v>
      </c>
      <c r="V48" s="85">
        <f>J14+L18+J22+J26+J28+L31+L35</f>
        <v>0</v>
      </c>
      <c r="W48" s="85">
        <f>+R14+Q18+R22+R26+R28+Q31+Q35</f>
        <v>1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Scholen!$J$22</f>
        <v>Jongens</v>
      </c>
      <c r="F8" s="130"/>
      <c r="G8" s="130"/>
      <c r="H8" s="131" t="s">
        <v>21</v>
      </c>
      <c r="I8" s="132" t="s">
        <v>38</v>
      </c>
      <c r="J8" s="130" t="s">
        <v>25</v>
      </c>
      <c r="K8" s="246">
        <f>Scholen!$K$21</f>
        <v>14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Gabriël J7</v>
      </c>
      <c r="F11" s="134"/>
      <c r="G11" s="135" t="s">
        <v>11</v>
      </c>
      <c r="H11" s="134" t="str">
        <f>$A$42</f>
        <v>Springwijs J1</v>
      </c>
      <c r="I11" s="17"/>
      <c r="J11" s="16">
        <v>0</v>
      </c>
      <c r="K11" s="95" t="s">
        <v>11</v>
      </c>
      <c r="L11" s="18">
        <v>3</v>
      </c>
      <c r="M11" s="19" t="str">
        <f>Scheids!$D$19</f>
        <v>Bas Kers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Regenboog J3</v>
      </c>
      <c r="F12" s="25"/>
      <c r="G12" s="23" t="s">
        <v>11</v>
      </c>
      <c r="H12" s="25" t="str">
        <f>$A$44</f>
        <v>Galjoen J1</v>
      </c>
      <c r="I12" s="26"/>
      <c r="J12" s="22">
        <v>4</v>
      </c>
      <c r="K12" s="27" t="s">
        <v>11</v>
      </c>
      <c r="L12" s="28">
        <v>1</v>
      </c>
      <c r="M12" s="29" t="str">
        <f>Scheids!$D$19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DSV J3</v>
      </c>
      <c r="F13" s="25"/>
      <c r="G13" s="23" t="s">
        <v>11</v>
      </c>
      <c r="H13" s="25" t="str">
        <f>$A$46</f>
        <v>Maurits J2</v>
      </c>
      <c r="I13" s="26"/>
      <c r="J13" s="22">
        <v>0</v>
      </c>
      <c r="K13" s="27" t="s">
        <v>11</v>
      </c>
      <c r="L13" s="28">
        <v>4</v>
      </c>
      <c r="M13" s="29" t="str">
        <f>Scheids!$D$19</f>
        <v>Bas Kers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Maria J7</v>
      </c>
      <c r="F14" s="25"/>
      <c r="G14" s="23"/>
      <c r="H14" s="25" t="str">
        <f>$A$48</f>
        <v>Oostpoort J1</v>
      </c>
      <c r="I14" s="26"/>
      <c r="J14" s="22">
        <v>0</v>
      </c>
      <c r="K14" s="27" t="s">
        <v>11</v>
      </c>
      <c r="L14" s="28">
        <v>4</v>
      </c>
      <c r="M14" s="29" t="str">
        <f>Scheids!$F$19</f>
        <v>Marco de Kok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Regenboog J3</v>
      </c>
      <c r="I15" s="26"/>
      <c r="J15" s="22">
        <v>2</v>
      </c>
      <c r="K15" s="27" t="s">
        <v>11</v>
      </c>
      <c r="L15" s="28">
        <v>1</v>
      </c>
      <c r="M15" s="29" t="str">
        <f>Scheids!$F$19</f>
        <v>Marco de Kok</v>
      </c>
      <c r="N15" s="30"/>
      <c r="O15" s="31"/>
      <c r="Q15" s="93">
        <v>0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Galjoen J1</v>
      </c>
      <c r="F16" s="25"/>
      <c r="G16" s="23" t="s">
        <v>11</v>
      </c>
      <c r="H16" s="25" t="str">
        <f>$A$45</f>
        <v>DSV J3</v>
      </c>
      <c r="I16" s="26"/>
      <c r="J16" s="22">
        <v>0</v>
      </c>
      <c r="K16" s="27" t="s">
        <v>11</v>
      </c>
      <c r="L16" s="28">
        <v>1</v>
      </c>
      <c r="M16" s="29" t="str">
        <f>Scheids!$F$19</f>
        <v>Marco de Kok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Maurits J2</v>
      </c>
      <c r="F17" s="25"/>
      <c r="G17" s="23" t="s">
        <v>11</v>
      </c>
      <c r="H17" s="25" t="str">
        <f>$A$47</f>
        <v>Maria J7</v>
      </c>
      <c r="I17" s="26"/>
      <c r="J17" s="22"/>
      <c r="K17" s="27" t="s">
        <v>11</v>
      </c>
      <c r="L17" s="28"/>
      <c r="M17" s="29" t="str">
        <f>Scheids!$D$19</f>
        <v>Bas Kers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Oostpoort J1</v>
      </c>
      <c r="F18" s="25"/>
      <c r="G18" s="23"/>
      <c r="H18" s="25" t="str">
        <f>$A$41</f>
        <v>Gabriël J7</v>
      </c>
      <c r="I18" s="26"/>
      <c r="J18" s="22"/>
      <c r="K18" s="27" t="s">
        <v>11</v>
      </c>
      <c r="L18" s="28"/>
      <c r="M18" s="29" t="str">
        <f>Scheids!$D$19</f>
        <v>Bas Kers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Galjoen J1</v>
      </c>
      <c r="F19" s="25"/>
      <c r="G19" s="23" t="s">
        <v>11</v>
      </c>
      <c r="H19" s="25" t="str">
        <f>$A$42</f>
        <v>Springwijs J1</v>
      </c>
      <c r="I19" s="26"/>
      <c r="J19" s="22"/>
      <c r="K19" s="27" t="s">
        <v>11</v>
      </c>
      <c r="L19" s="28"/>
      <c r="M19" s="29" t="str">
        <f>Scheids!$D$19</f>
        <v>Bas Kers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Regenboog J3</v>
      </c>
      <c r="F20" s="25"/>
      <c r="G20" s="23" t="s">
        <v>11</v>
      </c>
      <c r="H20" s="25" t="str">
        <f>$A$45</f>
        <v>DSV J3</v>
      </c>
      <c r="I20" s="26"/>
      <c r="J20" s="22"/>
      <c r="K20" s="27" t="s">
        <v>11</v>
      </c>
      <c r="L20" s="28"/>
      <c r="M20" s="29" t="str">
        <f>Scheids!$F$19</f>
        <v>Marco de Kok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Gabriël J7</v>
      </c>
      <c r="F21" s="25"/>
      <c r="G21" s="23" t="s">
        <v>11</v>
      </c>
      <c r="H21" s="25" t="str">
        <f>$A$47</f>
        <v>Maria J7</v>
      </c>
      <c r="I21" s="26"/>
      <c r="J21" s="22"/>
      <c r="K21" s="27" t="s">
        <v>11</v>
      </c>
      <c r="L21" s="28"/>
      <c r="M21" s="29" t="str">
        <f>Scheids!$F$19</f>
        <v>Marco de Kok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Maurits J2</v>
      </c>
      <c r="F22" s="25"/>
      <c r="G22" s="23"/>
      <c r="H22" s="25" t="str">
        <f>$A$48</f>
        <v>Oostpoort J1</v>
      </c>
      <c r="I22" s="26"/>
      <c r="J22" s="22"/>
      <c r="K22" s="27" t="s">
        <v>11</v>
      </c>
      <c r="L22" s="28"/>
      <c r="M22" s="29" t="str">
        <f>Scheids!$F$19</f>
        <v>Marco de Kok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Gabriël J7</v>
      </c>
      <c r="F23" s="25"/>
      <c r="G23" s="23" t="s">
        <v>11</v>
      </c>
      <c r="H23" s="25" t="str">
        <f>$A$43</f>
        <v>Regenboog J3</v>
      </c>
      <c r="I23" s="26"/>
      <c r="J23" s="22"/>
      <c r="K23" s="27" t="s">
        <v>11</v>
      </c>
      <c r="L23" s="28"/>
      <c r="M23" s="29" t="str">
        <f>Scheids!$D$19</f>
        <v>Bas Kers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Maurits J2</v>
      </c>
      <c r="F24" s="25"/>
      <c r="G24" s="23" t="s">
        <v>11</v>
      </c>
      <c r="H24" s="25" t="str">
        <f>$A$44</f>
        <v>Galjoen J1</v>
      </c>
      <c r="I24" s="26"/>
      <c r="J24" s="22"/>
      <c r="K24" s="27" t="s">
        <v>11</v>
      </c>
      <c r="L24" s="28"/>
      <c r="M24" s="29" t="str">
        <f>Scheids!$D$19</f>
        <v>Bas Kers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Maria J7</v>
      </c>
      <c r="I25" s="26"/>
      <c r="J25" s="22"/>
      <c r="K25" s="27" t="s">
        <v>11</v>
      </c>
      <c r="L25" s="28"/>
      <c r="M25" s="29" t="str">
        <f>Scheids!$D$19</f>
        <v>Bas Kers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DSV J3</v>
      </c>
      <c r="F26" s="25"/>
      <c r="G26" s="23"/>
      <c r="H26" s="25" t="str">
        <f>$A$48</f>
        <v>Oostpoort J1</v>
      </c>
      <c r="I26" s="26"/>
      <c r="J26" s="22"/>
      <c r="K26" s="27" t="s">
        <v>11</v>
      </c>
      <c r="L26" s="28"/>
      <c r="M26" s="29" t="str">
        <f>Scheids!$F$19</f>
        <v>Marco de Kok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Regenboog J3</v>
      </c>
      <c r="F27" s="25"/>
      <c r="G27" s="23" t="s">
        <v>11</v>
      </c>
      <c r="H27" s="25" t="str">
        <f>$A$46</f>
        <v>Maurits J2</v>
      </c>
      <c r="I27" s="26"/>
      <c r="J27" s="22"/>
      <c r="K27" s="27" t="s">
        <v>11</v>
      </c>
      <c r="L27" s="28"/>
      <c r="M27" s="29" t="str">
        <f>Scheids!$F$19</f>
        <v>Marco de Kok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Springwijs J1</v>
      </c>
      <c r="F28" s="25"/>
      <c r="G28" s="23"/>
      <c r="H28" s="25" t="str">
        <f>$A$48</f>
        <v>Oostpoort J1</v>
      </c>
      <c r="I28" s="26"/>
      <c r="J28" s="22"/>
      <c r="K28" s="27" t="s">
        <v>11</v>
      </c>
      <c r="L28" s="28"/>
      <c r="M28" s="29" t="str">
        <f>Scheids!$F$19</f>
        <v>Marco de Kok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Galjoen J1</v>
      </c>
      <c r="F29" s="25"/>
      <c r="G29" s="23" t="s">
        <v>11</v>
      </c>
      <c r="H29" s="25" t="str">
        <f>$A$41</f>
        <v>Gabriël J7</v>
      </c>
      <c r="I29" s="26"/>
      <c r="J29" s="22"/>
      <c r="K29" s="27" t="s">
        <v>11</v>
      </c>
      <c r="L29" s="28"/>
      <c r="M29" s="29" t="str">
        <f>Scheids!$D$19</f>
        <v>Bas Kers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Maria J7</v>
      </c>
      <c r="F30" s="25"/>
      <c r="G30" s="23" t="s">
        <v>11</v>
      </c>
      <c r="H30" s="25" t="str">
        <f>$A$45</f>
        <v>DSV J3</v>
      </c>
      <c r="I30" s="26"/>
      <c r="J30" s="22"/>
      <c r="K30" s="27" t="s">
        <v>11</v>
      </c>
      <c r="L30" s="28"/>
      <c r="M30" s="29" t="str">
        <f>Scheids!$D$19</f>
        <v>Bas Kers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Oostpoort J1</v>
      </c>
      <c r="F31" s="25"/>
      <c r="G31" s="23"/>
      <c r="H31" s="25" t="str">
        <f>$A$44</f>
        <v>Galjoen J1</v>
      </c>
      <c r="I31" s="26"/>
      <c r="J31" s="22"/>
      <c r="K31" s="27" t="s">
        <v>11</v>
      </c>
      <c r="L31" s="28"/>
      <c r="M31" s="29" t="str">
        <f>Scheids!$D$19</f>
        <v>Bas Kers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Regenboog J3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Scheids!$F$19</f>
        <v>Marco de Kok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Maurits J2</v>
      </c>
      <c r="I33" s="26"/>
      <c r="J33" s="22"/>
      <c r="K33" s="27" t="s">
        <v>11</v>
      </c>
      <c r="L33" s="28"/>
      <c r="M33" s="29" t="str">
        <f>Scheids!$F$19</f>
        <v>Marco de Kok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Gabriël J7</v>
      </c>
      <c r="F34" s="25"/>
      <c r="G34" s="23" t="s">
        <v>11</v>
      </c>
      <c r="H34" s="25" t="str">
        <f>$A$45</f>
        <v>DSV J3</v>
      </c>
      <c r="I34" s="26"/>
      <c r="J34" s="22"/>
      <c r="K34" s="27" t="s">
        <v>11</v>
      </c>
      <c r="L34" s="28"/>
      <c r="M34" s="29" t="str">
        <f>Scheids!$F$19</f>
        <v>Marco de Kok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Oostpoort J1</v>
      </c>
      <c r="F35" s="25"/>
      <c r="G35" s="23"/>
      <c r="H35" s="25" t="str">
        <f>$A$43</f>
        <v>Regenboog J3</v>
      </c>
      <c r="I35" s="26"/>
      <c r="J35" s="22"/>
      <c r="K35" s="27" t="s">
        <v>11</v>
      </c>
      <c r="L35" s="28"/>
      <c r="M35" s="29" t="str">
        <f>Scheids!$D$19</f>
        <v>Bas Kers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Maurits J2</v>
      </c>
      <c r="F36" s="25"/>
      <c r="G36" s="23" t="s">
        <v>11</v>
      </c>
      <c r="H36" s="25" t="str">
        <f>$A$41</f>
        <v>Gabriël J7</v>
      </c>
      <c r="I36" s="26"/>
      <c r="J36" s="22"/>
      <c r="K36" s="27" t="s">
        <v>11</v>
      </c>
      <c r="L36" s="28"/>
      <c r="M36" s="29" t="str">
        <f>Scheids!$D$19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DSV J3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Scheids!$F$19</f>
        <v>Marco de Kok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Maria J7</v>
      </c>
      <c r="F38" s="36"/>
      <c r="G38" s="34" t="s">
        <v>11</v>
      </c>
      <c r="H38" s="36" t="str">
        <f>$A$44</f>
        <v>Galjoen J1</v>
      </c>
      <c r="I38" s="37"/>
      <c r="J38" s="33"/>
      <c r="K38" s="38" t="s">
        <v>11</v>
      </c>
      <c r="L38" s="39"/>
      <c r="M38" s="120" t="str">
        <f>Scheids!$F$19</f>
        <v>Marco de Kok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Scholen!$J$24</f>
        <v>Gabriël J7</v>
      </c>
      <c r="B41" s="146"/>
      <c r="C41" s="146"/>
      <c r="D41" s="147"/>
      <c r="E41" s="148">
        <f>IF(AND($J$11&lt;&gt;"", $L$11&lt;&gt;""),IF($J$11&gt;$L$11,3,IF($J$11=$L$11,1,0)),"")</f>
        <v>0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3</v>
      </c>
      <c r="W41" s="85">
        <f>Q11+R18+Q21+Q23+R29+Q34+R36</f>
        <v>2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Scholen!$J$25</f>
        <v>Springwijs J1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2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5</v>
      </c>
      <c r="V42" s="85">
        <f>J11+L15+J19+L25+L28+L33+J37</f>
        <v>1</v>
      </c>
      <c r="W42" s="85">
        <f>R11+Q15+R19+Q25+Q28+Q33+R37</f>
        <v>2</v>
      </c>
      <c r="X42" s="93">
        <f t="shared" si="1"/>
        <v>1</v>
      </c>
    </row>
    <row r="43" spans="1:24" ht="18.75" customHeight="1" x14ac:dyDescent="0.3">
      <c r="A43" s="145" t="str">
        <f>Scholen!$J$26</f>
        <v>Regenboog J3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2</v>
      </c>
      <c r="R43" s="85">
        <f t="shared" si="2"/>
        <v>1</v>
      </c>
      <c r="S43" s="85">
        <f t="shared" si="3"/>
        <v>1</v>
      </c>
      <c r="T43" s="85">
        <f t="shared" si="4"/>
        <v>0</v>
      </c>
      <c r="U43" s="85">
        <f>J12+L15+J20+L23+J27+J32+L35</f>
        <v>5</v>
      </c>
      <c r="V43" s="85">
        <f>L12+J15+L20+J23+L27+L32+J35</f>
        <v>3</v>
      </c>
      <c r="W43" s="85">
        <f>Q12+R15+Q20+R23+Q27+Q32+R35</f>
        <v>4</v>
      </c>
      <c r="X43" s="93">
        <f t="shared" si="1"/>
        <v>2</v>
      </c>
    </row>
    <row r="44" spans="1:24" ht="18.75" customHeight="1" x14ac:dyDescent="0.3">
      <c r="A44" s="152" t="str">
        <f>Scholen!$J$27</f>
        <v>Galjoen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2</v>
      </c>
      <c r="R44" s="85">
        <f t="shared" si="2"/>
        <v>0</v>
      </c>
      <c r="S44" s="85">
        <f t="shared" si="3"/>
        <v>2</v>
      </c>
      <c r="T44" s="85">
        <f t="shared" si="4"/>
        <v>0</v>
      </c>
      <c r="U44" s="85">
        <f>L12+J16+J19+L24+J29+L31+L38</f>
        <v>1</v>
      </c>
      <c r="V44" s="85">
        <f>J12+L16+L19+J24+L29+J31+J38</f>
        <v>5</v>
      </c>
      <c r="W44" s="85">
        <f>R12+Q16+Q19+R24+Q29+R31+R38</f>
        <v>3</v>
      </c>
      <c r="X44" s="93">
        <f t="shared" si="1"/>
        <v>6</v>
      </c>
    </row>
    <row r="45" spans="1:24" ht="18.75" customHeight="1" x14ac:dyDescent="0.3">
      <c r="A45" s="145" t="str">
        <f>Scholen!$J$28</f>
        <v>DSV J3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1</v>
      </c>
      <c r="V45" s="85">
        <f>L13+J16+J20+L26+J30+J34+L37</f>
        <v>4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5" t="str">
        <f>Scholen!$J$29</f>
        <v>Maurits J2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4</v>
      </c>
      <c r="V46" s="85">
        <f>J13+L17+L22+L24+J27+J33+L36</f>
        <v>0</v>
      </c>
      <c r="W46" s="85">
        <f>R13+Q17+Q22+Q24+R27+R33+Q36</f>
        <v>2</v>
      </c>
      <c r="X46" s="93">
        <f t="shared" si="1"/>
        <v>2</v>
      </c>
    </row>
    <row r="47" spans="1:24" ht="18.75" customHeight="1" x14ac:dyDescent="0.3">
      <c r="A47" s="145" t="str">
        <f>IF(Scholen!$J$30&lt;&gt;"",Scholen!$J$30,"")</f>
        <v>Maria J7</v>
      </c>
      <c r="B47" s="146"/>
      <c r="C47" s="146"/>
      <c r="D47" s="147"/>
      <c r="E47" s="159">
        <f>IF(AND($J$14&lt;&gt;"",$L$14&lt;&gt;""),IF($J$14&gt;$L$14,3,IF($J$14=$L$14,1,0)),"")</f>
        <v>0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1</v>
      </c>
      <c r="R47" s="85">
        <f t="shared" si="2"/>
        <v>0</v>
      </c>
      <c r="S47" s="85">
        <f t="shared" si="3"/>
        <v>1</v>
      </c>
      <c r="T47" s="85">
        <f t="shared" si="4"/>
        <v>0</v>
      </c>
      <c r="U47" s="85">
        <f>J14+L17+L21+L25+J30+L32+J38</f>
        <v>0</v>
      </c>
      <c r="V47" s="85">
        <f>L14+J17+J21+J25+L30+J32+L38</f>
        <v>4</v>
      </c>
      <c r="W47" s="85">
        <f>Q14+R17+R21+R25+Q30+R32+Q38</f>
        <v>2</v>
      </c>
      <c r="X47" s="93">
        <f t="shared" si="1"/>
        <v>6</v>
      </c>
    </row>
    <row r="48" spans="1:24" ht="18.75" customHeight="1" x14ac:dyDescent="0.3">
      <c r="A48" s="145" t="str">
        <f>IF(Scholen!$J$31&lt;&gt;"",Scholen!$J$31,"")</f>
        <v>Oostpoort J1</v>
      </c>
      <c r="B48" s="146"/>
      <c r="C48" s="146"/>
      <c r="D48" s="147"/>
      <c r="E48" s="156">
        <f>IF(AND($J$14&lt;&gt;"",$L$14&lt;&gt;""),IF($J$14&lt;$L$14,3,IF($J$14=$L$14,1,0)),"")</f>
        <v>3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3</v>
      </c>
      <c r="Q48" s="85">
        <f t="shared" si="0"/>
        <v>1</v>
      </c>
      <c r="R48" s="85">
        <f t="shared" si="2"/>
        <v>1</v>
      </c>
      <c r="S48" s="85">
        <f t="shared" si="3"/>
        <v>0</v>
      </c>
      <c r="T48" s="85">
        <f t="shared" si="4"/>
        <v>0</v>
      </c>
      <c r="U48" s="85">
        <f>L14+J18+L22+L26+L28+J31+J35</f>
        <v>4</v>
      </c>
      <c r="V48" s="85">
        <f>J14+L18+J22+J26+J28+L31+L35</f>
        <v>0</v>
      </c>
      <c r="W48" s="85">
        <f>+R14+Q18+R22+R26+R28+Q31+Q35</f>
        <v>2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Scholen!$L$22</f>
        <v>Jongens</v>
      </c>
      <c r="F8" s="130"/>
      <c r="G8" s="130"/>
      <c r="H8" s="131" t="s">
        <v>21</v>
      </c>
      <c r="I8" s="132" t="s">
        <v>39</v>
      </c>
      <c r="J8" s="130" t="s">
        <v>25</v>
      </c>
      <c r="K8" s="246">
        <f>Scholen!$M$21</f>
        <v>15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Maurits J3</v>
      </c>
      <c r="F11" s="134"/>
      <c r="G11" s="135" t="s">
        <v>11</v>
      </c>
      <c r="H11" s="134" t="str">
        <f>$A$42</f>
        <v>M Delft J1</v>
      </c>
      <c r="I11" s="17"/>
      <c r="J11" s="16">
        <v>1</v>
      </c>
      <c r="K11" s="95" t="s">
        <v>11</v>
      </c>
      <c r="L11" s="18">
        <v>1</v>
      </c>
      <c r="M11" s="19" t="str">
        <f>Scheids!$D$20</f>
        <v>Michel vd Vlist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Springwijs J2</v>
      </c>
      <c r="F12" s="25"/>
      <c r="G12" s="23" t="s">
        <v>11</v>
      </c>
      <c r="H12" s="25" t="str">
        <f>$A$44</f>
        <v>Vermeer J1</v>
      </c>
      <c r="I12" s="26"/>
      <c r="J12" s="22">
        <v>2</v>
      </c>
      <c r="K12" s="27" t="s">
        <v>11</v>
      </c>
      <c r="L12" s="28">
        <v>1</v>
      </c>
      <c r="M12" s="29" t="str">
        <f>Scheids!$D$20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Eglantier-V J1</v>
      </c>
      <c r="F13" s="25"/>
      <c r="G13" s="23" t="s">
        <v>11</v>
      </c>
      <c r="H13" s="25" t="str">
        <f>$A$46</f>
        <v>Schatkaart J1</v>
      </c>
      <c r="I13" s="26"/>
      <c r="J13" s="22">
        <v>0</v>
      </c>
      <c r="K13" s="27" t="s">
        <v>11</v>
      </c>
      <c r="L13" s="28">
        <v>6</v>
      </c>
      <c r="M13" s="29" t="str">
        <f>Scheids!$D$20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Bonte Pael J1</v>
      </c>
      <c r="F14" s="25"/>
      <c r="G14" s="23"/>
      <c r="H14" s="25" t="str">
        <f>$A$48</f>
        <v>Maria J8</v>
      </c>
      <c r="I14" s="26"/>
      <c r="J14" s="22">
        <v>2</v>
      </c>
      <c r="K14" s="27" t="s">
        <v>11</v>
      </c>
      <c r="L14" s="28">
        <v>2</v>
      </c>
      <c r="M14" s="29" t="str">
        <f>Scheids!$F$20</f>
        <v>Martijn Noordhuizen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 Delft J1</v>
      </c>
      <c r="F15" s="25"/>
      <c r="G15" s="23" t="s">
        <v>11</v>
      </c>
      <c r="H15" s="25" t="str">
        <f>$A$43</f>
        <v>Springwijs J2</v>
      </c>
      <c r="I15" s="26"/>
      <c r="J15" s="22">
        <v>0</v>
      </c>
      <c r="K15" s="27" t="s">
        <v>11</v>
      </c>
      <c r="L15" s="28">
        <v>0</v>
      </c>
      <c r="M15" s="29" t="str">
        <f>Scheids!$F$20</f>
        <v>Martijn Noordhuizen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Vermeer J1</v>
      </c>
      <c r="F16" s="25"/>
      <c r="G16" s="23" t="s">
        <v>11</v>
      </c>
      <c r="H16" s="25" t="str">
        <f>$A$45</f>
        <v>Eglantier-V J1</v>
      </c>
      <c r="I16" s="26"/>
      <c r="J16" s="22">
        <v>5</v>
      </c>
      <c r="K16" s="27" t="s">
        <v>11</v>
      </c>
      <c r="L16" s="28">
        <v>0</v>
      </c>
      <c r="M16" s="29" t="str">
        <f>Scheids!$F$20</f>
        <v>Martijn Noordhuizen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Schatkaart J1</v>
      </c>
      <c r="F17" s="25"/>
      <c r="G17" s="23" t="s">
        <v>11</v>
      </c>
      <c r="H17" s="25" t="str">
        <f>$A$47</f>
        <v>Bonte Pael J1</v>
      </c>
      <c r="I17" s="26"/>
      <c r="J17" s="22"/>
      <c r="K17" s="27" t="s">
        <v>11</v>
      </c>
      <c r="L17" s="28"/>
      <c r="M17" s="29" t="str">
        <f>Scheids!$D$20</f>
        <v>Michel vd Vlist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Maria J8</v>
      </c>
      <c r="F18" s="25"/>
      <c r="G18" s="23"/>
      <c r="H18" s="25" t="str">
        <f>$A$41</f>
        <v>Maurits J3</v>
      </c>
      <c r="I18" s="26"/>
      <c r="J18" s="22"/>
      <c r="K18" s="27" t="s">
        <v>11</v>
      </c>
      <c r="L18" s="28"/>
      <c r="M18" s="29" t="str">
        <f>Scheids!$D$20</f>
        <v>Michel vd Vlist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Vermeer J1</v>
      </c>
      <c r="F19" s="25"/>
      <c r="G19" s="23" t="s">
        <v>11</v>
      </c>
      <c r="H19" s="25" t="str">
        <f>$A$42</f>
        <v>M Delft J1</v>
      </c>
      <c r="I19" s="26"/>
      <c r="J19" s="22"/>
      <c r="K19" s="27" t="s">
        <v>11</v>
      </c>
      <c r="L19" s="28"/>
      <c r="M19" s="29" t="str">
        <f>Scheids!$D$20</f>
        <v>Michel vd Vlist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Springwijs J2</v>
      </c>
      <c r="F20" s="25"/>
      <c r="G20" s="23" t="s">
        <v>11</v>
      </c>
      <c r="H20" s="25" t="str">
        <f>$A$45</f>
        <v>Eglantier-V J1</v>
      </c>
      <c r="I20" s="26"/>
      <c r="J20" s="22"/>
      <c r="K20" s="27" t="s">
        <v>11</v>
      </c>
      <c r="L20" s="28"/>
      <c r="M20" s="29" t="str">
        <f>Scheids!$F$20</f>
        <v>Martijn Noordhuizen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Maurits J3</v>
      </c>
      <c r="F21" s="25"/>
      <c r="G21" s="23" t="s">
        <v>11</v>
      </c>
      <c r="H21" s="25" t="str">
        <f>$A$47</f>
        <v>Bonte Pael J1</v>
      </c>
      <c r="I21" s="26"/>
      <c r="J21" s="22"/>
      <c r="K21" s="27" t="s">
        <v>11</v>
      </c>
      <c r="L21" s="28"/>
      <c r="M21" s="29" t="str">
        <f>Scheids!$F$20</f>
        <v>Martijn Noordhuizen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Schatkaart J1</v>
      </c>
      <c r="F22" s="25"/>
      <c r="G22" s="23"/>
      <c r="H22" s="25" t="str">
        <f>$A$48</f>
        <v>Maria J8</v>
      </c>
      <c r="I22" s="26"/>
      <c r="J22" s="22"/>
      <c r="K22" s="27" t="s">
        <v>11</v>
      </c>
      <c r="L22" s="28"/>
      <c r="M22" s="29" t="str">
        <f>Scheids!$F$20</f>
        <v>Martijn Noordhuizen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Maurits J3</v>
      </c>
      <c r="F23" s="25"/>
      <c r="G23" s="23" t="s">
        <v>11</v>
      </c>
      <c r="H23" s="25" t="str">
        <f>$A$43</f>
        <v>Springwijs J2</v>
      </c>
      <c r="I23" s="26"/>
      <c r="J23" s="22"/>
      <c r="K23" s="27" t="s">
        <v>11</v>
      </c>
      <c r="L23" s="28"/>
      <c r="M23" s="29" t="str">
        <f>Scheids!$D$20</f>
        <v>Michel vd Vlist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Schatkaart J1</v>
      </c>
      <c r="F24" s="25"/>
      <c r="G24" s="23" t="s">
        <v>11</v>
      </c>
      <c r="H24" s="25" t="str">
        <f>$A$44</f>
        <v>Vermeer J1</v>
      </c>
      <c r="I24" s="26"/>
      <c r="J24" s="22"/>
      <c r="K24" s="27" t="s">
        <v>11</v>
      </c>
      <c r="L24" s="28"/>
      <c r="M24" s="29" t="str">
        <f>Scheids!$D$20</f>
        <v>Michel vd Vlist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 Delft J1</v>
      </c>
      <c r="F25" s="25"/>
      <c r="G25" s="23" t="s">
        <v>11</v>
      </c>
      <c r="H25" s="25" t="str">
        <f>$A$47</f>
        <v>Bonte Pael J1</v>
      </c>
      <c r="I25" s="26"/>
      <c r="J25" s="22"/>
      <c r="K25" s="27" t="s">
        <v>11</v>
      </c>
      <c r="L25" s="28"/>
      <c r="M25" s="29" t="str">
        <f>Scheids!$D$20</f>
        <v>Michel vd Vlist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Eglantier-V J1</v>
      </c>
      <c r="F26" s="25"/>
      <c r="G26" s="23"/>
      <c r="H26" s="25" t="str">
        <f>$A$48</f>
        <v>Maria J8</v>
      </c>
      <c r="I26" s="26"/>
      <c r="J26" s="22"/>
      <c r="K26" s="27" t="s">
        <v>11</v>
      </c>
      <c r="L26" s="28"/>
      <c r="M26" s="29" t="str">
        <f>Scheids!$F$20</f>
        <v>Martijn Noordhuizen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Springwijs J2</v>
      </c>
      <c r="F27" s="25"/>
      <c r="G27" s="23" t="s">
        <v>11</v>
      </c>
      <c r="H27" s="25" t="str">
        <f>$A$46</f>
        <v>Schatkaart J1</v>
      </c>
      <c r="I27" s="26"/>
      <c r="J27" s="22"/>
      <c r="K27" s="27" t="s">
        <v>11</v>
      </c>
      <c r="L27" s="28"/>
      <c r="M27" s="29" t="str">
        <f>Scheids!$F$20</f>
        <v>Martijn Noordhuizen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 Delft J1</v>
      </c>
      <c r="F28" s="25"/>
      <c r="G28" s="23"/>
      <c r="H28" s="25" t="str">
        <f>$A$48</f>
        <v>Maria J8</v>
      </c>
      <c r="I28" s="26"/>
      <c r="J28" s="22"/>
      <c r="K28" s="27" t="s">
        <v>11</v>
      </c>
      <c r="L28" s="28"/>
      <c r="M28" s="29" t="str">
        <f>Scheids!$F$20</f>
        <v>Martijn Noordhuizen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Vermeer J1</v>
      </c>
      <c r="F29" s="25"/>
      <c r="G29" s="23" t="s">
        <v>11</v>
      </c>
      <c r="H29" s="25" t="str">
        <f>$A$41</f>
        <v>Maurits J3</v>
      </c>
      <c r="I29" s="26"/>
      <c r="J29" s="22"/>
      <c r="K29" s="27" t="s">
        <v>11</v>
      </c>
      <c r="L29" s="28"/>
      <c r="M29" s="29" t="str">
        <f>Scheids!$D$20</f>
        <v>Michel vd Vlist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25" t="str">
        <f>$A$47</f>
        <v>Bonte Pael J1</v>
      </c>
      <c r="F30" s="25"/>
      <c r="G30" s="23" t="s">
        <v>11</v>
      </c>
      <c r="H30" s="25" t="str">
        <f>$A$45</f>
        <v>Eglantier-V J1</v>
      </c>
      <c r="I30" s="26"/>
      <c r="J30" s="22"/>
      <c r="K30" s="27" t="s">
        <v>11</v>
      </c>
      <c r="L30" s="28"/>
      <c r="M30" s="29" t="str">
        <f>Scheids!$D$20</f>
        <v>Michel vd Vlist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Maria J8</v>
      </c>
      <c r="F31" s="25"/>
      <c r="G31" s="23"/>
      <c r="H31" s="25" t="str">
        <f>$A$44</f>
        <v>Vermeer J1</v>
      </c>
      <c r="I31" s="26"/>
      <c r="J31" s="22"/>
      <c r="K31" s="27" t="s">
        <v>11</v>
      </c>
      <c r="L31" s="28"/>
      <c r="M31" s="29" t="str">
        <f>Scheids!$D$20</f>
        <v>Michel vd Vlist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Springwijs J2</v>
      </c>
      <c r="F32" s="25"/>
      <c r="G32" s="23" t="s">
        <v>11</v>
      </c>
      <c r="H32" s="25" t="str">
        <f>$A$47</f>
        <v>Bonte Pael J1</v>
      </c>
      <c r="I32" s="26"/>
      <c r="J32" s="22"/>
      <c r="K32" s="27" t="s">
        <v>11</v>
      </c>
      <c r="L32" s="28"/>
      <c r="M32" s="29" t="str">
        <f>Scheids!$F$20</f>
        <v>Martijn Noordhuizen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 Delft J1</v>
      </c>
      <c r="F33" s="25"/>
      <c r="G33" s="23" t="s">
        <v>11</v>
      </c>
      <c r="H33" s="25" t="str">
        <f>$A$46</f>
        <v>Schatkaart J1</v>
      </c>
      <c r="I33" s="26"/>
      <c r="J33" s="22"/>
      <c r="K33" s="27" t="s">
        <v>11</v>
      </c>
      <c r="L33" s="28"/>
      <c r="M33" s="29" t="str">
        <f>Scheids!$F$20</f>
        <v>Martijn Noordhuizen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Maurits J3</v>
      </c>
      <c r="F34" s="25"/>
      <c r="G34" s="23" t="s">
        <v>11</v>
      </c>
      <c r="H34" s="25" t="str">
        <f>$A$45</f>
        <v>Eglantier-V J1</v>
      </c>
      <c r="I34" s="26"/>
      <c r="J34" s="22"/>
      <c r="K34" s="27" t="s">
        <v>11</v>
      </c>
      <c r="L34" s="28"/>
      <c r="M34" s="29" t="str">
        <f>Scheids!$F$20</f>
        <v>Martijn Noordhuizen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Maria J8</v>
      </c>
      <c r="F35" s="25"/>
      <c r="G35" s="23"/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Scheids!$D$20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Schatkaart J1</v>
      </c>
      <c r="F36" s="25"/>
      <c r="G36" s="23" t="s">
        <v>11</v>
      </c>
      <c r="H36" s="25" t="str">
        <f>$A$41</f>
        <v>Maurits J3</v>
      </c>
      <c r="I36" s="26"/>
      <c r="J36" s="22"/>
      <c r="K36" s="27" t="s">
        <v>11</v>
      </c>
      <c r="L36" s="28"/>
      <c r="M36" s="29" t="str">
        <f>Scheids!$D$20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Eglantier-V J1</v>
      </c>
      <c r="F37" s="25"/>
      <c r="G37" s="23" t="s">
        <v>11</v>
      </c>
      <c r="H37" s="25" t="str">
        <f>$A$42</f>
        <v>M Delft J1</v>
      </c>
      <c r="I37" s="26"/>
      <c r="J37" s="22"/>
      <c r="K37" s="27" t="s">
        <v>11</v>
      </c>
      <c r="L37" s="28"/>
      <c r="M37" s="29" t="str">
        <f>Scheids!$F$20</f>
        <v>Martijn Noordhuizen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Bonte Pael J1</v>
      </c>
      <c r="F38" s="36"/>
      <c r="G38" s="34" t="s">
        <v>11</v>
      </c>
      <c r="H38" s="36" t="str">
        <f>$A$44</f>
        <v>Vermeer J1</v>
      </c>
      <c r="I38" s="37"/>
      <c r="J38" s="33"/>
      <c r="K38" s="38" t="s">
        <v>11</v>
      </c>
      <c r="L38" s="39"/>
      <c r="M38" s="120" t="str">
        <f>Scheids!$F$20</f>
        <v>Martijn Noordhuizen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Scholen!$L$24</f>
        <v>Maurits J3</v>
      </c>
      <c r="B41" s="146"/>
      <c r="C41" s="146"/>
      <c r="D41" s="147"/>
      <c r="E41" s="148">
        <f>IF(AND($J$11&lt;&gt;"", $L$11&lt;&gt;""),IF($J$11&gt;$L$11,3,IF($J$11=$L$11,1,0)),"")</f>
        <v>1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1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Scholen!$L$25</f>
        <v>M Delft J1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2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2</v>
      </c>
      <c r="U42" s="85">
        <f>L11+J15+L19+J25+J28+J33+L37</f>
        <v>1</v>
      </c>
      <c r="V42" s="85">
        <f>J11+L15+J19+L25+L28+L33+J37</f>
        <v>1</v>
      </c>
      <c r="W42" s="85">
        <f>R11+Q15+R19+Q25+Q28+Q33+R37</f>
        <v>3</v>
      </c>
      <c r="X42" s="93">
        <f t="shared" si="1"/>
        <v>4</v>
      </c>
    </row>
    <row r="43" spans="1:24" ht="18.75" customHeight="1" x14ac:dyDescent="0.3">
      <c r="A43" s="145" t="str">
        <f>Scholen!$L$26</f>
        <v>Springwijs J2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2</v>
      </c>
      <c r="R43" s="85">
        <f t="shared" si="2"/>
        <v>1</v>
      </c>
      <c r="S43" s="85">
        <f t="shared" si="3"/>
        <v>0</v>
      </c>
      <c r="T43" s="85">
        <f t="shared" si="4"/>
        <v>1</v>
      </c>
      <c r="U43" s="85">
        <f>J12+L15+J20+L23+J27+J32+L35</f>
        <v>2</v>
      </c>
      <c r="V43" s="85">
        <f>L12+J15+L20+J23+L27+L32+J35</f>
        <v>1</v>
      </c>
      <c r="W43" s="85">
        <f>Q12+R15+Q20+R23+Q27+Q32+R35</f>
        <v>3</v>
      </c>
      <c r="X43" s="93">
        <f t="shared" si="1"/>
        <v>1</v>
      </c>
    </row>
    <row r="44" spans="1:24" ht="18.75" customHeight="1" x14ac:dyDescent="0.3">
      <c r="A44" s="152" t="str">
        <f>Scholen!$L$27</f>
        <v>Vermeer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2</v>
      </c>
      <c r="R44" s="85">
        <f t="shared" si="2"/>
        <v>1</v>
      </c>
      <c r="S44" s="85">
        <f t="shared" si="3"/>
        <v>1</v>
      </c>
      <c r="T44" s="85">
        <f t="shared" si="4"/>
        <v>0</v>
      </c>
      <c r="U44" s="85">
        <f>L12+J16+J19+L24+J29+L31+L38</f>
        <v>6</v>
      </c>
      <c r="V44" s="85">
        <f>J12+L16+L19+J24+L29+J31+J38</f>
        <v>2</v>
      </c>
      <c r="W44" s="85">
        <f>R12+Q16+Q19+R24+Q29+R31+R38</f>
        <v>4</v>
      </c>
      <c r="X44" s="93">
        <f t="shared" si="1"/>
        <v>2</v>
      </c>
    </row>
    <row r="45" spans="1:24" ht="18.75" customHeight="1" x14ac:dyDescent="0.3">
      <c r="A45" s="145" t="str">
        <f>Scholen!$L$28</f>
        <v>Eglantier-V J1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2</v>
      </c>
      <c r="R45" s="85">
        <f t="shared" si="2"/>
        <v>0</v>
      </c>
      <c r="S45" s="85">
        <f t="shared" si="3"/>
        <v>2</v>
      </c>
      <c r="T45" s="85">
        <f t="shared" si="4"/>
        <v>0</v>
      </c>
      <c r="U45" s="85">
        <f>J13+L16+L20+J26+L30+L34+J37</f>
        <v>0</v>
      </c>
      <c r="V45" s="85">
        <f>L13+J16+J20+L26+J30+J34+L37</f>
        <v>11</v>
      </c>
      <c r="W45" s="85">
        <f>Q13+R16+R20+Q26+R30+R34+Q37</f>
        <v>3</v>
      </c>
      <c r="X45" s="93">
        <f t="shared" si="1"/>
        <v>8</v>
      </c>
    </row>
    <row r="46" spans="1:24" ht="18.75" customHeight="1" x14ac:dyDescent="0.3">
      <c r="A46" s="145" t="str">
        <f>Scholen!$L$29</f>
        <v>Schatkaart J1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6</v>
      </c>
      <c r="V46" s="85">
        <f>J13+L17+L22+L24+J27+J33+L36</f>
        <v>0</v>
      </c>
      <c r="W46" s="85">
        <f>R13+Q17+Q22+Q24+R27+R33+Q36</f>
        <v>2</v>
      </c>
      <c r="X46" s="93">
        <f t="shared" si="1"/>
        <v>2</v>
      </c>
    </row>
    <row r="47" spans="1:24" ht="18.75" customHeight="1" x14ac:dyDescent="0.3">
      <c r="A47" s="145" t="str">
        <f>IF(Scholen!$L$30&lt;&gt;"",Scholen!$L$30,"")</f>
        <v>Bonte Pael J1</v>
      </c>
      <c r="B47" s="146"/>
      <c r="C47" s="146"/>
      <c r="D47" s="147"/>
      <c r="E47" s="159">
        <f>IF(AND($J$14&lt;&gt;"",$L$14&lt;&gt;""),IF($J$14&gt;$L$14,3,IF($J$14=$L$14,1,0)),"")</f>
        <v>1</v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1</v>
      </c>
      <c r="R47" s="85">
        <f t="shared" si="2"/>
        <v>0</v>
      </c>
      <c r="S47" s="85">
        <f t="shared" si="3"/>
        <v>0</v>
      </c>
      <c r="T47" s="85">
        <f t="shared" si="4"/>
        <v>1</v>
      </c>
      <c r="U47" s="85">
        <f>J14+L17+L21+L25+J30+L32+J38</f>
        <v>2</v>
      </c>
      <c r="V47" s="85">
        <f>L14+J17+J21+J25+L30+J32+L38</f>
        <v>2</v>
      </c>
      <c r="W47" s="85">
        <f>Q14+R17+R21+R25+Q30+R32+Q38</f>
        <v>2</v>
      </c>
      <c r="X47" s="93">
        <f t="shared" si="1"/>
        <v>5</v>
      </c>
    </row>
    <row r="48" spans="1:24" ht="18.75" customHeight="1" x14ac:dyDescent="0.3">
      <c r="A48" s="145" t="str">
        <f>IF(Scholen!$L$31&lt;&gt;"",Scholen!$L$31,"")</f>
        <v>Maria J8</v>
      </c>
      <c r="B48" s="146"/>
      <c r="C48" s="146"/>
      <c r="D48" s="147"/>
      <c r="E48" s="156">
        <f>IF(AND($J$14&lt;&gt;"",$L$14&lt;&gt;""),IF($J$14&lt;$L$14,3,IF($J$14=$L$14,1,0)),"")</f>
        <v>1</v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1</v>
      </c>
      <c r="R48" s="85">
        <f t="shared" si="2"/>
        <v>0</v>
      </c>
      <c r="S48" s="85">
        <f t="shared" si="3"/>
        <v>0</v>
      </c>
      <c r="T48" s="85">
        <f t="shared" si="4"/>
        <v>1</v>
      </c>
      <c r="U48" s="85">
        <f>L14+J18+L22+L26+L28+J31+J35</f>
        <v>2</v>
      </c>
      <c r="V48" s="85">
        <f>J14+L18+J22+J26+J28+L31+L35</f>
        <v>2</v>
      </c>
      <c r="W48" s="85">
        <f>+R14+Q18+R22+R26+R28+Q31+Q35</f>
        <v>2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Scholen!$N$22</f>
        <v>Jongens</v>
      </c>
      <c r="F8" s="130"/>
      <c r="G8" s="130"/>
      <c r="H8" s="131" t="s">
        <v>21</v>
      </c>
      <c r="I8" s="132" t="s">
        <v>40</v>
      </c>
      <c r="J8" s="130" t="s">
        <v>25</v>
      </c>
      <c r="K8" s="246">
        <f>Scholen!$O$21</f>
        <v>16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Waterhof J3</v>
      </c>
      <c r="F11" s="192"/>
      <c r="G11" s="192" t="s">
        <v>11</v>
      </c>
      <c r="H11" s="192" t="str">
        <f>$A$42</f>
        <v>Galjoen J2</v>
      </c>
      <c r="I11" s="193"/>
      <c r="J11" s="16">
        <v>0</v>
      </c>
      <c r="K11" s="95" t="s">
        <v>11</v>
      </c>
      <c r="L11" s="18">
        <v>3</v>
      </c>
      <c r="M11" s="19" t="str">
        <f>Scheids!$D$21</f>
        <v>Andrew Kube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Mgr. Bekkers J1</v>
      </c>
      <c r="F12" s="48"/>
      <c r="G12" s="48" t="s">
        <v>11</v>
      </c>
      <c r="H12" s="48" t="str">
        <f>$A$44</f>
        <v>Tuin J1</v>
      </c>
      <c r="I12" s="195"/>
      <c r="J12" s="22">
        <v>0</v>
      </c>
      <c r="K12" s="27" t="s">
        <v>11</v>
      </c>
      <c r="L12" s="28">
        <v>3</v>
      </c>
      <c r="M12" s="29" t="str">
        <f>Scheids!$D$21</f>
        <v>Andrew Kube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Springwijs J3</v>
      </c>
      <c r="F13" s="48"/>
      <c r="G13" s="48" t="s">
        <v>11</v>
      </c>
      <c r="H13" s="48" t="str">
        <f>$A$46</f>
        <v>Eglantier-B J1</v>
      </c>
      <c r="I13" s="195"/>
      <c r="J13" s="22">
        <v>1</v>
      </c>
      <c r="K13" s="27" t="s">
        <v>11</v>
      </c>
      <c r="L13" s="28">
        <v>0</v>
      </c>
      <c r="M13" s="29" t="str">
        <f>Scheids!$D$21</f>
        <v>Andrew Kube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Galjoen J2</v>
      </c>
      <c r="F15" s="48"/>
      <c r="G15" s="48" t="s">
        <v>11</v>
      </c>
      <c r="H15" s="48" t="str">
        <f>$A$43</f>
        <v>Mgr. Bekkers J1</v>
      </c>
      <c r="I15" s="195"/>
      <c r="J15" s="22">
        <v>2</v>
      </c>
      <c r="K15" s="27" t="s">
        <v>11</v>
      </c>
      <c r="L15" s="28">
        <v>0</v>
      </c>
      <c r="M15" s="29" t="str">
        <f>Scheids!$F$21</f>
        <v>Iris Klein Bog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Springwijs J3</v>
      </c>
      <c r="I16" s="195"/>
      <c r="J16" s="22">
        <v>1</v>
      </c>
      <c r="K16" s="27" t="s">
        <v>11</v>
      </c>
      <c r="L16" s="28">
        <v>1</v>
      </c>
      <c r="M16" s="29" t="str">
        <f>Scheids!$F$21</f>
        <v>Iris Klein Bog</v>
      </c>
      <c r="N16" s="30"/>
      <c r="O16" s="31"/>
      <c r="Q16" s="93">
        <v>1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Eglantier-B J1</v>
      </c>
      <c r="F17" s="48"/>
      <c r="G17" s="48" t="s">
        <v>11</v>
      </c>
      <c r="H17" s="48" t="str">
        <f>$A$47</f>
        <v>BMS J1</v>
      </c>
      <c r="I17" s="195"/>
      <c r="J17" s="22"/>
      <c r="K17" s="27" t="s">
        <v>11</v>
      </c>
      <c r="L17" s="28"/>
      <c r="M17" s="29" t="str">
        <f>Scheids!$F$21</f>
        <v>Iris Klein Bog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Galjoen J2</v>
      </c>
      <c r="I19" s="195"/>
      <c r="J19" s="22"/>
      <c r="K19" s="27" t="s">
        <v>11</v>
      </c>
      <c r="L19" s="28"/>
      <c r="M19" s="29" t="str">
        <f>Scheids!$D$21</f>
        <v>Andrew Kube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Mgr. Bekkers J1</v>
      </c>
      <c r="F20" s="48"/>
      <c r="G20" s="48" t="s">
        <v>11</v>
      </c>
      <c r="H20" s="48" t="str">
        <f>$A$45</f>
        <v>Springwijs J3</v>
      </c>
      <c r="I20" s="195"/>
      <c r="J20" s="22"/>
      <c r="K20" s="27" t="s">
        <v>11</v>
      </c>
      <c r="L20" s="28"/>
      <c r="M20" s="29" t="str">
        <f>Scheids!$D$21</f>
        <v>Andrew Kube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Waterhof J3</v>
      </c>
      <c r="F21" s="48"/>
      <c r="G21" s="48" t="s">
        <v>11</v>
      </c>
      <c r="H21" s="48" t="str">
        <f>$A$47</f>
        <v>BMS J1</v>
      </c>
      <c r="I21" s="195"/>
      <c r="J21" s="22"/>
      <c r="K21" s="27" t="s">
        <v>11</v>
      </c>
      <c r="L21" s="28"/>
      <c r="M21" s="29" t="str">
        <f>Scheids!$D$21</f>
        <v>Andrew Kube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Waterhof J3</v>
      </c>
      <c r="F23" s="48"/>
      <c r="G23" s="48" t="s">
        <v>11</v>
      </c>
      <c r="H23" s="48" t="str">
        <f>$A$43</f>
        <v>Mgr. Bekkers J1</v>
      </c>
      <c r="I23" s="195"/>
      <c r="J23" s="22"/>
      <c r="K23" s="27" t="s">
        <v>11</v>
      </c>
      <c r="L23" s="28"/>
      <c r="M23" s="29" t="str">
        <f>Scheids!$F$21</f>
        <v>Iris Klein Bog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Eglantier-B J1</v>
      </c>
      <c r="F24" s="48"/>
      <c r="G24" s="48" t="s">
        <v>11</v>
      </c>
      <c r="H24" s="48" t="str">
        <f>$A$44</f>
        <v>Tuin J1</v>
      </c>
      <c r="I24" s="195"/>
      <c r="J24" s="22"/>
      <c r="K24" s="27" t="s">
        <v>11</v>
      </c>
      <c r="L24" s="28"/>
      <c r="M24" s="29" t="str">
        <f>Scheids!$F$21</f>
        <v>Iris Klein Bog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Galjoen J2</v>
      </c>
      <c r="F25" s="48"/>
      <c r="G25" s="48" t="s">
        <v>11</v>
      </c>
      <c r="H25" s="48" t="str">
        <f>$A$47</f>
        <v>BMS J1</v>
      </c>
      <c r="I25" s="195"/>
      <c r="J25" s="22"/>
      <c r="K25" s="27" t="s">
        <v>11</v>
      </c>
      <c r="L25" s="28"/>
      <c r="M25" s="29" t="str">
        <f>Scheids!$F$21</f>
        <v>Iris Klein Bog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Mgr. Bekkers J1</v>
      </c>
      <c r="F27" s="48"/>
      <c r="G27" s="48" t="s">
        <v>11</v>
      </c>
      <c r="H27" s="48" t="str">
        <f>$A$46</f>
        <v>Eglantier-B J1</v>
      </c>
      <c r="I27" s="195"/>
      <c r="J27" s="22"/>
      <c r="K27" s="27" t="s">
        <v>11</v>
      </c>
      <c r="L27" s="28"/>
      <c r="M27" s="29" t="str">
        <f>Scheids!$D$21</f>
        <v>Andrew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Waterhof J3</v>
      </c>
      <c r="I29" s="195"/>
      <c r="J29" s="22"/>
      <c r="K29" s="27" t="s">
        <v>11</v>
      </c>
      <c r="L29" s="28"/>
      <c r="M29" s="29" t="str">
        <f>Scheids!$D$21</f>
        <v>Andrew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BMS J1</v>
      </c>
      <c r="F30" s="48"/>
      <c r="G30" s="48" t="s">
        <v>11</v>
      </c>
      <c r="H30" s="48" t="str">
        <f>$A$45</f>
        <v>Springwijs J3</v>
      </c>
      <c r="I30" s="195"/>
      <c r="J30" s="22"/>
      <c r="K30" s="27" t="s">
        <v>11</v>
      </c>
      <c r="L30" s="28"/>
      <c r="M30" s="29" t="str">
        <f>Scheids!$D$21</f>
        <v>Andrew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Mgr. Bekkers J1</v>
      </c>
      <c r="F32" s="48"/>
      <c r="G32" s="48" t="s">
        <v>11</v>
      </c>
      <c r="H32" s="48" t="str">
        <f>$A$47</f>
        <v>BMS J1</v>
      </c>
      <c r="I32" s="195"/>
      <c r="J32" s="22"/>
      <c r="K32" s="27" t="s">
        <v>11</v>
      </c>
      <c r="L32" s="28"/>
      <c r="M32" s="29" t="str">
        <f>Scheids!$F$21</f>
        <v>Iris Klein Bog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Galjoen J2</v>
      </c>
      <c r="F33" s="48"/>
      <c r="G33" s="48" t="s">
        <v>11</v>
      </c>
      <c r="H33" s="48" t="str">
        <f>$A$46</f>
        <v>Eglantier-B J1</v>
      </c>
      <c r="I33" s="195"/>
      <c r="J33" s="22"/>
      <c r="K33" s="27" t="s">
        <v>11</v>
      </c>
      <c r="L33" s="28"/>
      <c r="M33" s="29" t="str">
        <f>Scheids!$F$21</f>
        <v>Iris Klein Bog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Waterhof J3</v>
      </c>
      <c r="F34" s="48"/>
      <c r="G34" s="48" t="s">
        <v>11</v>
      </c>
      <c r="H34" s="48" t="str">
        <f>$A$45</f>
        <v>Springwijs J3</v>
      </c>
      <c r="I34" s="195"/>
      <c r="J34" s="22"/>
      <c r="K34" s="27" t="s">
        <v>11</v>
      </c>
      <c r="L34" s="28"/>
      <c r="M34" s="29" t="str">
        <f>Scheids!$F$21</f>
        <v>Iris Klein Bog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Eglantier-B J1</v>
      </c>
      <c r="F36" s="48"/>
      <c r="G36" s="48" t="s">
        <v>11</v>
      </c>
      <c r="H36" s="48" t="str">
        <f>$A$41</f>
        <v>Waterhof J3</v>
      </c>
      <c r="I36" s="195"/>
      <c r="J36" s="22"/>
      <c r="K36" s="27" t="s">
        <v>11</v>
      </c>
      <c r="L36" s="28"/>
      <c r="M36" s="29" t="str">
        <f>Scheids!$D$21</f>
        <v>Andrew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Springwijs J3</v>
      </c>
      <c r="F37" s="48"/>
      <c r="G37" s="48" t="s">
        <v>11</v>
      </c>
      <c r="H37" s="48" t="str">
        <f>$A$42</f>
        <v>Galjoen J2</v>
      </c>
      <c r="I37" s="195"/>
      <c r="J37" s="22"/>
      <c r="K37" s="27" t="s">
        <v>11</v>
      </c>
      <c r="L37" s="28"/>
      <c r="M37" s="29" t="str">
        <f>Scheids!$F$21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BMS J1</v>
      </c>
      <c r="F38" s="45"/>
      <c r="G38" s="45" t="s">
        <v>11</v>
      </c>
      <c r="H38" s="45" t="str">
        <f>$A$44</f>
        <v>Tuin J1</v>
      </c>
      <c r="I38" s="196"/>
      <c r="J38" s="33"/>
      <c r="K38" s="38" t="s">
        <v>11</v>
      </c>
      <c r="L38" s="39"/>
      <c r="M38" s="120" t="str">
        <f>Scheids!$F$21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Scholen!$N$24</f>
        <v>Waterhof J3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3</v>
      </c>
      <c r="W41" s="85">
        <f>Q11+R18+Q21+Q23+R29+Q34+R36</f>
        <v>2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Scholen!$N$25</f>
        <v>Galjoen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2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5</v>
      </c>
      <c r="V42" s="85">
        <f>J11+L15+J19+L25+L28+L33+J37</f>
        <v>0</v>
      </c>
      <c r="W42" s="85">
        <f>R11+Q15+R19+Q25+Q28+Q33+R37</f>
        <v>3</v>
      </c>
      <c r="X42" s="93">
        <f t="shared" si="1"/>
        <v>1</v>
      </c>
    </row>
    <row r="43" spans="1:24" ht="18.75" customHeight="1" x14ac:dyDescent="0.3">
      <c r="A43" s="145" t="str">
        <f>Scholen!$N$26</f>
        <v>Mgr. Bekkers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2</v>
      </c>
      <c r="R43" s="85">
        <f t="shared" si="2"/>
        <v>0</v>
      </c>
      <c r="S43" s="85">
        <f t="shared" si="3"/>
        <v>2</v>
      </c>
      <c r="T43" s="85">
        <f t="shared" si="4"/>
        <v>0</v>
      </c>
      <c r="U43" s="85">
        <f>J12+L15+J20+L23+J27+J32+L35</f>
        <v>0</v>
      </c>
      <c r="V43" s="85">
        <f>L12+J15+L20+J23+L27+L32+J35</f>
        <v>5</v>
      </c>
      <c r="W43" s="85">
        <f>Q12+R15+Q20+R23+Q27+Q32+R35</f>
        <v>3</v>
      </c>
      <c r="X43" s="93">
        <f t="shared" si="1"/>
        <v>4</v>
      </c>
    </row>
    <row r="44" spans="1:24" ht="18.75" customHeight="1" x14ac:dyDescent="0.3">
      <c r="A44" s="157" t="str">
        <f>Scholen!$N$27</f>
        <v>Tuin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1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2</v>
      </c>
      <c r="R44" s="85">
        <f t="shared" si="2"/>
        <v>1</v>
      </c>
      <c r="S44" s="85">
        <f t="shared" si="3"/>
        <v>0</v>
      </c>
      <c r="T44" s="85">
        <f t="shared" si="4"/>
        <v>1</v>
      </c>
      <c r="U44" s="85">
        <f>L12+J16+J19+L24+J29+L31+L38</f>
        <v>4</v>
      </c>
      <c r="V44" s="85">
        <f>J12+L16+L19+J24+L29+J31+J38</f>
        <v>1</v>
      </c>
      <c r="W44" s="85">
        <f>R12+Q16+Q19+R24+Q29+R31+R38</f>
        <v>3</v>
      </c>
      <c r="X44" s="93">
        <f t="shared" si="1"/>
        <v>2</v>
      </c>
    </row>
    <row r="45" spans="1:24" ht="18.75" customHeight="1" x14ac:dyDescent="0.3">
      <c r="A45" s="145" t="str">
        <f>Scholen!$N$28</f>
        <v>Springwijs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1</v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4</v>
      </c>
      <c r="Q45" s="85">
        <f t="shared" si="0"/>
        <v>2</v>
      </c>
      <c r="R45" s="85">
        <f t="shared" si="2"/>
        <v>1</v>
      </c>
      <c r="S45" s="85">
        <f t="shared" si="3"/>
        <v>0</v>
      </c>
      <c r="T45" s="85">
        <f t="shared" si="4"/>
        <v>1</v>
      </c>
      <c r="U45" s="85">
        <f>J13+L16+L20+J26+L30+L34+J37</f>
        <v>2</v>
      </c>
      <c r="V45" s="85">
        <f>L13+J16+J20+L26+J30+J34+L37</f>
        <v>1</v>
      </c>
      <c r="W45" s="85">
        <f>Q13+R16+R20+Q26+R30+R34+Q37</f>
        <v>4</v>
      </c>
      <c r="X45" s="93">
        <f t="shared" si="1"/>
        <v>2</v>
      </c>
    </row>
    <row r="46" spans="1:24" ht="18.75" customHeight="1" x14ac:dyDescent="0.3">
      <c r="A46" s="145" t="str">
        <f>Scholen!$N$29</f>
        <v>Eglantier-B J1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2</v>
      </c>
      <c r="X46" s="93">
        <f t="shared" si="1"/>
        <v>4</v>
      </c>
    </row>
    <row r="47" spans="1:24" ht="18.75" customHeight="1" x14ac:dyDescent="0.3">
      <c r="A47" s="145" t="str">
        <f>IF(Scholen!$N$30&lt;&gt;"",Scholen!$N$30,"")</f>
        <v>BMS J1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IF(Scholen!$N$31&lt;&gt;"",Scholen!$N$31,"")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Scholen!$P$22</f>
        <v>Jongens</v>
      </c>
      <c r="F8" s="130"/>
      <c r="G8" s="130"/>
      <c r="H8" s="131" t="s">
        <v>21</v>
      </c>
      <c r="I8" s="132" t="s">
        <v>41</v>
      </c>
      <c r="J8" s="130" t="s">
        <v>25</v>
      </c>
      <c r="K8" s="246">
        <f>Scholen!$Q$21</f>
        <v>17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Eglantier-V J2</v>
      </c>
      <c r="F11" s="192"/>
      <c r="G11" s="192" t="s">
        <v>11</v>
      </c>
      <c r="H11" s="192" t="str">
        <f>$A$42</f>
        <v>Maria J10</v>
      </c>
      <c r="I11" s="193"/>
      <c r="J11" s="16">
        <v>2</v>
      </c>
      <c r="K11" s="95" t="s">
        <v>11</v>
      </c>
      <c r="L11" s="18">
        <v>2</v>
      </c>
      <c r="M11" s="19" t="str">
        <f>Scheids!$D$22</f>
        <v>Quinten Kube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 Delft J2</v>
      </c>
      <c r="F12" s="48"/>
      <c r="G12" s="48" t="s">
        <v>11</v>
      </c>
      <c r="H12" s="48" t="str">
        <f>$A$44</f>
        <v>Mgr. Bekkers J2</v>
      </c>
      <c r="I12" s="195"/>
      <c r="J12" s="22">
        <v>1</v>
      </c>
      <c r="K12" s="27" t="s">
        <v>11</v>
      </c>
      <c r="L12" s="28">
        <v>1</v>
      </c>
      <c r="M12" s="29" t="str">
        <f>Scheids!$D$22</f>
        <v>Quinten Kube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Vermeer J2</v>
      </c>
      <c r="F13" s="48"/>
      <c r="G13" s="48" t="s">
        <v>11</v>
      </c>
      <c r="H13" s="48" t="str">
        <f>$A$46</f>
        <v>Bonte Pael J2</v>
      </c>
      <c r="I13" s="195"/>
      <c r="J13" s="22">
        <v>0</v>
      </c>
      <c r="K13" s="27" t="s">
        <v>11</v>
      </c>
      <c r="L13" s="28">
        <v>1</v>
      </c>
      <c r="M13" s="29" t="str">
        <f>Scheids!$D$22</f>
        <v>Quinten Kube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Maria J10</v>
      </c>
      <c r="F15" s="48"/>
      <c r="G15" s="48" t="s">
        <v>11</v>
      </c>
      <c r="H15" s="48" t="str">
        <f>$A$43</f>
        <v>M Delft J2</v>
      </c>
      <c r="I15" s="195"/>
      <c r="J15" s="22">
        <v>4</v>
      </c>
      <c r="K15" s="27" t="s">
        <v>11</v>
      </c>
      <c r="L15" s="28">
        <v>0</v>
      </c>
      <c r="M15" s="29" t="str">
        <f>Scheids!$F$22</f>
        <v>Remco vd Weijde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Mgr. Bekkers J2</v>
      </c>
      <c r="F16" s="48"/>
      <c r="G16" s="48" t="s">
        <v>11</v>
      </c>
      <c r="H16" s="48" t="str">
        <f>$A$45</f>
        <v>Vermeer J2</v>
      </c>
      <c r="I16" s="195"/>
      <c r="J16" s="22">
        <v>1</v>
      </c>
      <c r="K16" s="27" t="s">
        <v>11</v>
      </c>
      <c r="L16" s="28">
        <v>1</v>
      </c>
      <c r="M16" s="29" t="str">
        <f>Scheids!$F$22</f>
        <v>Remco vd Weijde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Bonte Pael J2</v>
      </c>
      <c r="F17" s="48"/>
      <c r="G17" s="48" t="s">
        <v>11</v>
      </c>
      <c r="H17" s="48" t="str">
        <f>$A$47</f>
        <v>Schatkaart J2</v>
      </c>
      <c r="I17" s="195"/>
      <c r="J17" s="22"/>
      <c r="K17" s="27" t="s">
        <v>11</v>
      </c>
      <c r="L17" s="28"/>
      <c r="M17" s="29" t="str">
        <f>Scheids!$F$22</f>
        <v>Remco vd Weijde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Mgr. Bekkers J2</v>
      </c>
      <c r="F19" s="48"/>
      <c r="G19" s="48" t="s">
        <v>11</v>
      </c>
      <c r="H19" s="48" t="str">
        <f>$A$42</f>
        <v>Maria J10</v>
      </c>
      <c r="I19" s="195"/>
      <c r="J19" s="22"/>
      <c r="K19" s="27" t="s">
        <v>11</v>
      </c>
      <c r="L19" s="28"/>
      <c r="M19" s="29" t="str">
        <f>Scheids!$D$22</f>
        <v>Quinten Kube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 Delft J2</v>
      </c>
      <c r="F20" s="48"/>
      <c r="G20" s="48" t="s">
        <v>11</v>
      </c>
      <c r="H20" s="48" t="str">
        <f>$A$45</f>
        <v>Vermeer J2</v>
      </c>
      <c r="I20" s="195"/>
      <c r="J20" s="22"/>
      <c r="K20" s="27" t="s">
        <v>11</v>
      </c>
      <c r="L20" s="28"/>
      <c r="M20" s="29" t="str">
        <f>Scheids!$D$22</f>
        <v>Quinten Kube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Eglantier-V J2</v>
      </c>
      <c r="F21" s="48"/>
      <c r="G21" s="48" t="s">
        <v>11</v>
      </c>
      <c r="H21" s="48" t="str">
        <f>$A$47</f>
        <v>Schatkaart J2</v>
      </c>
      <c r="I21" s="195"/>
      <c r="J21" s="22"/>
      <c r="K21" s="27" t="s">
        <v>11</v>
      </c>
      <c r="L21" s="28"/>
      <c r="M21" s="29" t="str">
        <f>Scheids!$D$22</f>
        <v>Quinten Kube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Eglantier-V J2</v>
      </c>
      <c r="F23" s="48"/>
      <c r="G23" s="48" t="s">
        <v>11</v>
      </c>
      <c r="H23" s="48" t="str">
        <f>$A$43</f>
        <v>M Delft J2</v>
      </c>
      <c r="I23" s="195"/>
      <c r="J23" s="22"/>
      <c r="K23" s="27" t="s">
        <v>11</v>
      </c>
      <c r="L23" s="28"/>
      <c r="M23" s="29" t="str">
        <f>Scheids!$F$22</f>
        <v>Remco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Bonte Pael J2</v>
      </c>
      <c r="F24" s="48"/>
      <c r="G24" s="48" t="s">
        <v>11</v>
      </c>
      <c r="H24" s="48" t="str">
        <f>$A$44</f>
        <v>Mgr. Bekkers J2</v>
      </c>
      <c r="I24" s="195"/>
      <c r="J24" s="22"/>
      <c r="K24" s="27" t="s">
        <v>11</v>
      </c>
      <c r="L24" s="28"/>
      <c r="M24" s="29" t="str">
        <f>Scheids!$F$22</f>
        <v>Remco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Maria J10</v>
      </c>
      <c r="F25" s="48"/>
      <c r="G25" s="48" t="s">
        <v>11</v>
      </c>
      <c r="H25" s="48" t="str">
        <f>$A$47</f>
        <v>Schatkaart J2</v>
      </c>
      <c r="I25" s="195"/>
      <c r="J25" s="22"/>
      <c r="K25" s="27" t="s">
        <v>11</v>
      </c>
      <c r="L25" s="28"/>
      <c r="M25" s="29" t="str">
        <f>Scheids!$F$22</f>
        <v>Remco vd Weijde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 Delft J2</v>
      </c>
      <c r="F27" s="48"/>
      <c r="G27" s="48" t="s">
        <v>11</v>
      </c>
      <c r="H27" s="48" t="str">
        <f>$A$46</f>
        <v>Bonte Pael J2</v>
      </c>
      <c r="I27" s="195"/>
      <c r="J27" s="22"/>
      <c r="K27" s="27" t="s">
        <v>11</v>
      </c>
      <c r="L27" s="28"/>
      <c r="M27" s="29" t="str">
        <f>Scheids!$D$22</f>
        <v>Quinten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Mgr. Bekkers J2</v>
      </c>
      <c r="F29" s="48"/>
      <c r="G29" s="48" t="s">
        <v>11</v>
      </c>
      <c r="H29" s="48" t="str">
        <f>$A$41</f>
        <v>Eglantier-V J2</v>
      </c>
      <c r="I29" s="195"/>
      <c r="J29" s="22"/>
      <c r="K29" s="27" t="s">
        <v>11</v>
      </c>
      <c r="L29" s="28"/>
      <c r="M29" s="29" t="str">
        <f>Scheids!$D$22</f>
        <v>Quinten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Schatkaart J2</v>
      </c>
      <c r="F30" s="48"/>
      <c r="G30" s="48" t="s">
        <v>11</v>
      </c>
      <c r="H30" s="48" t="str">
        <f>$A$45</f>
        <v>Vermeer J2</v>
      </c>
      <c r="I30" s="195"/>
      <c r="J30" s="22"/>
      <c r="K30" s="27" t="s">
        <v>11</v>
      </c>
      <c r="L30" s="28"/>
      <c r="M30" s="29" t="str">
        <f>Scheids!$D$22</f>
        <v>Quinten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 Delft J2</v>
      </c>
      <c r="F32" s="48"/>
      <c r="G32" s="48" t="s">
        <v>11</v>
      </c>
      <c r="H32" s="48" t="str">
        <f>$A$47</f>
        <v>Schatkaart J2</v>
      </c>
      <c r="I32" s="195"/>
      <c r="J32" s="22"/>
      <c r="K32" s="27" t="s">
        <v>11</v>
      </c>
      <c r="L32" s="28"/>
      <c r="M32" s="29" t="str">
        <f>Scheids!$F$22</f>
        <v>Remco vd Weijde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Maria J10</v>
      </c>
      <c r="F33" s="48"/>
      <c r="G33" s="48" t="s">
        <v>11</v>
      </c>
      <c r="H33" s="48" t="str">
        <f>$A$46</f>
        <v>Bonte Pael J2</v>
      </c>
      <c r="I33" s="195"/>
      <c r="J33" s="22"/>
      <c r="K33" s="27" t="s">
        <v>11</v>
      </c>
      <c r="L33" s="28"/>
      <c r="M33" s="29" t="str">
        <f>Scheids!$F$22</f>
        <v>Remco vd Weijde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Eglantier-V J2</v>
      </c>
      <c r="F34" s="48"/>
      <c r="G34" s="48" t="s">
        <v>11</v>
      </c>
      <c r="H34" s="48" t="str">
        <f>$A$45</f>
        <v>Vermeer J2</v>
      </c>
      <c r="I34" s="195"/>
      <c r="J34" s="22"/>
      <c r="K34" s="27" t="s">
        <v>11</v>
      </c>
      <c r="L34" s="28"/>
      <c r="M34" s="29" t="str">
        <f>Scheids!$F$22</f>
        <v>Remco vd Weijde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Bonte Pael J2</v>
      </c>
      <c r="F36" s="48"/>
      <c r="G36" s="48" t="s">
        <v>11</v>
      </c>
      <c r="H36" s="48" t="str">
        <f>$A$41</f>
        <v>Eglantier-V J2</v>
      </c>
      <c r="I36" s="195"/>
      <c r="J36" s="22"/>
      <c r="K36" s="27" t="s">
        <v>11</v>
      </c>
      <c r="L36" s="28"/>
      <c r="M36" s="29" t="str">
        <f>Scheids!$D$22</f>
        <v>Quinten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Vermeer J2</v>
      </c>
      <c r="F37" s="48"/>
      <c r="G37" s="48" t="s">
        <v>11</v>
      </c>
      <c r="H37" s="48" t="str">
        <f>$A$42</f>
        <v>Maria J10</v>
      </c>
      <c r="I37" s="195"/>
      <c r="J37" s="22"/>
      <c r="K37" s="27" t="s">
        <v>11</v>
      </c>
      <c r="L37" s="28"/>
      <c r="M37" s="29" t="str">
        <f>Scheids!$F$22</f>
        <v>Remco vd Weijde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Schatkaart J2</v>
      </c>
      <c r="F38" s="45"/>
      <c r="G38" s="45" t="s">
        <v>11</v>
      </c>
      <c r="H38" s="45" t="str">
        <f>$A$44</f>
        <v>Mgr. Bekkers J2</v>
      </c>
      <c r="I38" s="196"/>
      <c r="J38" s="33"/>
      <c r="K38" s="38" t="s">
        <v>11</v>
      </c>
      <c r="L38" s="39"/>
      <c r="M38" s="120" t="str">
        <f>Scheids!$F$22</f>
        <v>Remco vd Weijde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Scholen!$P$24</f>
        <v>Eglantier-V J2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2</v>
      </c>
      <c r="V41" s="85">
        <f>L11+J18+L21+L23+J29+L34+J36</f>
        <v>2</v>
      </c>
      <c r="W41" s="85">
        <f>Q11+R18+Q21+Q23+R29+Q34+R36</f>
        <v>1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Scholen!$P$25</f>
        <v>Maria J10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2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6</v>
      </c>
      <c r="V42" s="85">
        <f>J11+L15+J19+L25+L28+L33+J37</f>
        <v>2</v>
      </c>
      <c r="W42" s="85">
        <f>R11+Q15+R19+Q25+Q28+Q33+R37</f>
        <v>3</v>
      </c>
      <c r="X42" s="93">
        <f t="shared" si="1"/>
        <v>1</v>
      </c>
    </row>
    <row r="43" spans="1:24" ht="18.75" customHeight="1" x14ac:dyDescent="0.3">
      <c r="A43" s="145" t="str">
        <f>Scholen!$P$26</f>
        <v>M Delft J2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2</v>
      </c>
      <c r="R43" s="85">
        <f t="shared" si="2"/>
        <v>0</v>
      </c>
      <c r="S43" s="85">
        <f t="shared" si="3"/>
        <v>1</v>
      </c>
      <c r="T43" s="85">
        <f t="shared" si="4"/>
        <v>1</v>
      </c>
      <c r="U43" s="85">
        <f>J12+L15+J20+L23+J27+J32+L35</f>
        <v>1</v>
      </c>
      <c r="V43" s="85">
        <f>L12+J15+L20+J23+L27+L32+J35</f>
        <v>5</v>
      </c>
      <c r="W43" s="85">
        <f>Q12+R15+Q20+R23+Q27+Q32+R35</f>
        <v>3</v>
      </c>
      <c r="X43" s="93">
        <f t="shared" si="1"/>
        <v>4</v>
      </c>
    </row>
    <row r="44" spans="1:24" ht="18.75" customHeight="1" x14ac:dyDescent="0.3">
      <c r="A44" s="152" t="str">
        <f>Scholen!$P$27</f>
        <v>Mgr. Bekkers J2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2</v>
      </c>
      <c r="Q44" s="85">
        <f t="shared" si="0"/>
        <v>2</v>
      </c>
      <c r="R44" s="85">
        <f t="shared" si="2"/>
        <v>0</v>
      </c>
      <c r="S44" s="85">
        <f t="shared" si="3"/>
        <v>0</v>
      </c>
      <c r="T44" s="85">
        <f t="shared" si="4"/>
        <v>2</v>
      </c>
      <c r="U44" s="85">
        <f>L12+J16+J19+L24+J29+L31+L38</f>
        <v>2</v>
      </c>
      <c r="V44" s="85">
        <f>J12+L16+L19+J24+L29+J31+J38</f>
        <v>2</v>
      </c>
      <c r="W44" s="85">
        <f>R12+Q16+Q19+R24+Q29+R31+R38</f>
        <v>3</v>
      </c>
      <c r="X44" s="93">
        <f t="shared" si="1"/>
        <v>3</v>
      </c>
    </row>
    <row r="45" spans="1:24" ht="18.75" customHeight="1" x14ac:dyDescent="0.3">
      <c r="A45" s="145" t="str">
        <f>Scholen!$P$28</f>
        <v>Vermeer J2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1</v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2</v>
      </c>
      <c r="R45" s="85">
        <f t="shared" si="2"/>
        <v>0</v>
      </c>
      <c r="S45" s="85">
        <f t="shared" si="3"/>
        <v>1</v>
      </c>
      <c r="T45" s="85">
        <f t="shared" si="4"/>
        <v>1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4</v>
      </c>
      <c r="X45" s="93">
        <f t="shared" si="1"/>
        <v>4</v>
      </c>
    </row>
    <row r="46" spans="1:24" ht="18.75" customHeight="1" x14ac:dyDescent="0.3">
      <c r="A46" s="145" t="str">
        <f>Scholen!$P$29</f>
        <v>Bonte Pael J2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1</v>
      </c>
      <c r="X46" s="93">
        <f t="shared" si="1"/>
        <v>2</v>
      </c>
    </row>
    <row r="47" spans="1:24" ht="18.75" customHeight="1" x14ac:dyDescent="0.3">
      <c r="A47" s="145" t="str">
        <f>IF(Scholen!$P$30&lt;&gt;"",Scholen!$P$30,"")</f>
        <v>Schatkaart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IF(Scholen!$P$31&lt;&gt;"",Scholen!$P$31,"")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 t="str">
        <f>Scholen!$R$22</f>
        <v>Jongens</v>
      </c>
      <c r="F8" s="186"/>
      <c r="G8" s="186"/>
      <c r="H8" s="187" t="s">
        <v>21</v>
      </c>
      <c r="I8" s="188" t="s">
        <v>59</v>
      </c>
      <c r="J8" s="186" t="s">
        <v>25</v>
      </c>
      <c r="K8" s="247">
        <f>Scholen!$S$21</f>
        <v>18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89" t="s">
        <v>10</v>
      </c>
      <c r="N10" s="97"/>
      <c r="O10" s="89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Tuin J2</v>
      </c>
      <c r="F11" s="192"/>
      <c r="G11" s="192" t="s">
        <v>11</v>
      </c>
      <c r="H11" s="192" t="str">
        <f>$A$42</f>
        <v>Talent J6</v>
      </c>
      <c r="I11" s="193"/>
      <c r="J11" s="16">
        <v>2</v>
      </c>
      <c r="K11" s="95" t="s">
        <v>11</v>
      </c>
      <c r="L11" s="95">
        <v>1</v>
      </c>
      <c r="M11" s="19" t="str">
        <f>Scheids!$D$23</f>
        <v>Dik vd Mast</v>
      </c>
      <c r="N11" s="9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Freinet J7</v>
      </c>
      <c r="F12" s="48"/>
      <c r="G12" s="48" t="s">
        <v>11</v>
      </c>
      <c r="H12" s="48" t="str">
        <f>$A$44</f>
        <v>Laurentius J1</v>
      </c>
      <c r="I12" s="195"/>
      <c r="J12" s="22">
        <v>2</v>
      </c>
      <c r="K12" s="27" t="s">
        <v>11</v>
      </c>
      <c r="L12" s="27">
        <v>0</v>
      </c>
      <c r="M12" s="29" t="str">
        <f>Scheids!$D$23</f>
        <v>Dik vd Mast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Gabriël J6</v>
      </c>
      <c r="F13" s="48"/>
      <c r="G13" s="48" t="s">
        <v>11</v>
      </c>
      <c r="H13" s="48" t="str">
        <f>$A$46</f>
        <v>Maria J9</v>
      </c>
      <c r="I13" s="195"/>
      <c r="J13" s="22">
        <v>0</v>
      </c>
      <c r="K13" s="27" t="s">
        <v>11</v>
      </c>
      <c r="L13" s="27">
        <v>3</v>
      </c>
      <c r="M13" s="29" t="str">
        <f>Scheids!$D$23</f>
        <v>Dik vd Mast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7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Talent J6</v>
      </c>
      <c r="F15" s="48"/>
      <c r="G15" s="48" t="s">
        <v>11</v>
      </c>
      <c r="H15" s="48" t="str">
        <f>$A$43</f>
        <v>Freinet J7</v>
      </c>
      <c r="I15" s="195"/>
      <c r="J15" s="22">
        <v>1</v>
      </c>
      <c r="K15" s="27" t="s">
        <v>11</v>
      </c>
      <c r="L15" s="27">
        <v>1</v>
      </c>
      <c r="M15" s="29" t="str">
        <f>Scheids!$F$23</f>
        <v>Dion Dingler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Laurentius J1</v>
      </c>
      <c r="F16" s="48"/>
      <c r="G16" s="48" t="s">
        <v>11</v>
      </c>
      <c r="H16" s="48" t="str">
        <f>$A$45</f>
        <v>Gabriël J6</v>
      </c>
      <c r="I16" s="195"/>
      <c r="J16" s="22">
        <v>3</v>
      </c>
      <c r="K16" s="27" t="s">
        <v>11</v>
      </c>
      <c r="L16" s="27">
        <v>0</v>
      </c>
      <c r="M16" s="29" t="str">
        <f>Scheids!$F$23</f>
        <v>Dion Dingler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Maria J9</v>
      </c>
      <c r="F17" s="48"/>
      <c r="G17" s="48" t="s">
        <v>11</v>
      </c>
      <c r="H17" s="48" t="str">
        <f>$A$47</f>
        <v>Eglantier-B J2</v>
      </c>
      <c r="I17" s="195"/>
      <c r="J17" s="22"/>
      <c r="K17" s="27" t="s">
        <v>11</v>
      </c>
      <c r="L17" s="27"/>
      <c r="M17" s="29" t="str">
        <f>Scheids!$F$23</f>
        <v>Dion Dingler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7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Laurentius J1</v>
      </c>
      <c r="F19" s="48"/>
      <c r="G19" s="48" t="s">
        <v>11</v>
      </c>
      <c r="H19" s="48" t="str">
        <f>$A$42</f>
        <v>Talent J6</v>
      </c>
      <c r="I19" s="195"/>
      <c r="J19" s="22"/>
      <c r="K19" s="27" t="s">
        <v>11</v>
      </c>
      <c r="L19" s="27"/>
      <c r="M19" s="29" t="str">
        <f>Scheids!$D$23</f>
        <v>Dik vd Mast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Freinet J7</v>
      </c>
      <c r="F20" s="48"/>
      <c r="G20" s="48" t="s">
        <v>11</v>
      </c>
      <c r="H20" s="48" t="str">
        <f>$A$45</f>
        <v>Gabriël J6</v>
      </c>
      <c r="I20" s="195"/>
      <c r="J20" s="22"/>
      <c r="K20" s="27" t="s">
        <v>11</v>
      </c>
      <c r="L20" s="27"/>
      <c r="M20" s="29" t="str">
        <f>Scheids!$D$23</f>
        <v>Dik vd Mast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Tuin J2</v>
      </c>
      <c r="F21" s="48"/>
      <c r="G21" s="48" t="s">
        <v>11</v>
      </c>
      <c r="H21" s="48" t="str">
        <f>$A$47</f>
        <v>Eglantier-B J2</v>
      </c>
      <c r="I21" s="195"/>
      <c r="J21" s="22"/>
      <c r="K21" s="27" t="s">
        <v>11</v>
      </c>
      <c r="L21" s="27"/>
      <c r="M21" s="29" t="str">
        <f>Scheids!$D$23</f>
        <v>Dik vd Mast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7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Tuin J2</v>
      </c>
      <c r="F23" s="48"/>
      <c r="G23" s="48" t="s">
        <v>11</v>
      </c>
      <c r="H23" s="48" t="str">
        <f>$A$43</f>
        <v>Freinet J7</v>
      </c>
      <c r="I23" s="195"/>
      <c r="J23" s="22"/>
      <c r="K23" s="27" t="s">
        <v>11</v>
      </c>
      <c r="L23" s="27"/>
      <c r="M23" s="29" t="str">
        <f>Scheids!$F$23</f>
        <v>Dion Dingler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Maria J9</v>
      </c>
      <c r="F24" s="48"/>
      <c r="G24" s="48" t="s">
        <v>11</v>
      </c>
      <c r="H24" s="48" t="str">
        <f>$A$44</f>
        <v>Laurentius J1</v>
      </c>
      <c r="I24" s="195"/>
      <c r="J24" s="22"/>
      <c r="K24" s="27" t="s">
        <v>11</v>
      </c>
      <c r="L24" s="27"/>
      <c r="M24" s="29" t="str">
        <f>Scheids!$F$23</f>
        <v>Dion Dingler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Talent J6</v>
      </c>
      <c r="F25" s="48"/>
      <c r="G25" s="48" t="s">
        <v>11</v>
      </c>
      <c r="H25" s="48" t="str">
        <f>$A$47</f>
        <v>Eglantier-B J2</v>
      </c>
      <c r="I25" s="195"/>
      <c r="J25" s="22"/>
      <c r="K25" s="27" t="s">
        <v>11</v>
      </c>
      <c r="L25" s="27"/>
      <c r="M25" s="29" t="str">
        <f>Scheids!$F$23</f>
        <v>Dion Dingler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7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Freinet J7</v>
      </c>
      <c r="F27" s="48"/>
      <c r="G27" s="48" t="s">
        <v>11</v>
      </c>
      <c r="H27" s="48" t="str">
        <f>$A$46</f>
        <v>Maria J9</v>
      </c>
      <c r="I27" s="195"/>
      <c r="J27" s="22"/>
      <c r="K27" s="27" t="s">
        <v>11</v>
      </c>
      <c r="L27" s="27"/>
      <c r="M27" s="29" t="str">
        <f>Scheids!$D$23</f>
        <v>Dik vd Mast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7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Laurentius J1</v>
      </c>
      <c r="F29" s="48"/>
      <c r="G29" s="48" t="s">
        <v>11</v>
      </c>
      <c r="H29" s="48" t="str">
        <f>$A$41</f>
        <v>Tuin J2</v>
      </c>
      <c r="I29" s="195"/>
      <c r="J29" s="22"/>
      <c r="K29" s="27" t="s">
        <v>11</v>
      </c>
      <c r="L29" s="27"/>
      <c r="M29" s="29" t="str">
        <f>Scheids!$D$23</f>
        <v>Dik vd Mast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Eglantier-B J2</v>
      </c>
      <c r="F30" s="48"/>
      <c r="G30" s="48" t="s">
        <v>11</v>
      </c>
      <c r="H30" s="48" t="str">
        <f>$A$45</f>
        <v>Gabriël J6</v>
      </c>
      <c r="I30" s="195"/>
      <c r="J30" s="22"/>
      <c r="K30" s="27" t="s">
        <v>11</v>
      </c>
      <c r="L30" s="27"/>
      <c r="M30" s="29" t="str">
        <f>Scheids!$D$23</f>
        <v>Dik vd Mast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7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Freinet J7</v>
      </c>
      <c r="F32" s="48"/>
      <c r="G32" s="48" t="s">
        <v>11</v>
      </c>
      <c r="H32" s="48" t="str">
        <f>$A$47</f>
        <v>Eglantier-B J2</v>
      </c>
      <c r="I32" s="195"/>
      <c r="J32" s="22"/>
      <c r="K32" s="27" t="s">
        <v>11</v>
      </c>
      <c r="L32" s="27"/>
      <c r="M32" s="29" t="str">
        <f>Scheids!$F$23</f>
        <v>Dion Dingler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Talent J6</v>
      </c>
      <c r="F33" s="48"/>
      <c r="G33" s="48" t="s">
        <v>11</v>
      </c>
      <c r="H33" s="48" t="str">
        <f>$A$46</f>
        <v>Maria J9</v>
      </c>
      <c r="I33" s="195"/>
      <c r="J33" s="22"/>
      <c r="K33" s="27" t="s">
        <v>11</v>
      </c>
      <c r="L33" s="27"/>
      <c r="M33" s="29" t="str">
        <f>Scheids!$F$23</f>
        <v>Dion Dingler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Tuin J2</v>
      </c>
      <c r="F34" s="48"/>
      <c r="G34" s="48" t="s">
        <v>11</v>
      </c>
      <c r="H34" s="48" t="str">
        <f>$A$45</f>
        <v>Gabriël J6</v>
      </c>
      <c r="I34" s="195"/>
      <c r="J34" s="22"/>
      <c r="K34" s="27" t="s">
        <v>11</v>
      </c>
      <c r="L34" s="27"/>
      <c r="M34" s="29" t="str">
        <f>Scheids!$F$23</f>
        <v>Dion Dingler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7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Maria J9</v>
      </c>
      <c r="F36" s="48"/>
      <c r="G36" s="48" t="s">
        <v>11</v>
      </c>
      <c r="H36" s="48" t="str">
        <f>$A$41</f>
        <v>Tuin J2</v>
      </c>
      <c r="I36" s="195"/>
      <c r="J36" s="22"/>
      <c r="K36" s="27" t="s">
        <v>11</v>
      </c>
      <c r="L36" s="27"/>
      <c r="M36" s="29" t="str">
        <f>Scheids!$D$23</f>
        <v>Dik vd Mast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Gabriël J6</v>
      </c>
      <c r="F37" s="48"/>
      <c r="G37" s="48" t="s">
        <v>11</v>
      </c>
      <c r="H37" s="48" t="str">
        <f>$A$42</f>
        <v>Talent J6</v>
      </c>
      <c r="I37" s="195"/>
      <c r="J37" s="22"/>
      <c r="K37" s="27" t="s">
        <v>11</v>
      </c>
      <c r="L37" s="27"/>
      <c r="M37" s="29" t="str">
        <f>Scheids!$F$23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Eglantier-B J2</v>
      </c>
      <c r="F38" s="45"/>
      <c r="G38" s="45" t="s">
        <v>11</v>
      </c>
      <c r="H38" s="45" t="str">
        <f>$A$44</f>
        <v>Laurentius J1</v>
      </c>
      <c r="I38" s="196"/>
      <c r="J38" s="33"/>
      <c r="K38" s="38" t="s">
        <v>11</v>
      </c>
      <c r="L38" s="38"/>
      <c r="M38" s="120" t="str">
        <f>Scheids!$F$23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Scholen!$R$24</f>
        <v>Tuin J2</v>
      </c>
      <c r="B41" s="146"/>
      <c r="C41" s="146"/>
      <c r="D41" s="147"/>
      <c r="E41" s="148">
        <f>IF(AND($J$11&lt;&gt;"", $L$11&lt;&gt;""),IF($J$11&gt;$L$11,3,IF($J$11=$L$11,1,0)),"")</f>
        <v>3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2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Scholen!$R$25</f>
        <v>Talent J6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2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2</v>
      </c>
      <c r="V42" s="85">
        <f>J11+L15+J19+L25+L28+L33+J37</f>
        <v>3</v>
      </c>
      <c r="W42" s="85">
        <f>R11+Q15+R19+Q25+Q28+Q33+R37</f>
        <v>3</v>
      </c>
      <c r="X42" s="93">
        <f t="shared" si="1"/>
        <v>5</v>
      </c>
    </row>
    <row r="43" spans="1:24" ht="18.75" customHeight="1" x14ac:dyDescent="0.3">
      <c r="A43" s="145" t="str">
        <f>Scholen!$R$26</f>
        <v>Freinet J7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2</v>
      </c>
      <c r="R43" s="85">
        <f t="shared" si="2"/>
        <v>1</v>
      </c>
      <c r="S43" s="85">
        <f t="shared" si="3"/>
        <v>0</v>
      </c>
      <c r="T43" s="85">
        <f t="shared" si="4"/>
        <v>1</v>
      </c>
      <c r="U43" s="85">
        <f>J12+L15+J20+L23+J27+J32+L35</f>
        <v>3</v>
      </c>
      <c r="V43" s="85">
        <f>L12+J15+L20+J23+L27+L32+J35</f>
        <v>1</v>
      </c>
      <c r="W43" s="85">
        <f>Q12+R15+Q20+R23+Q27+Q32+R35</f>
        <v>3</v>
      </c>
      <c r="X43" s="93">
        <f t="shared" si="1"/>
        <v>1</v>
      </c>
    </row>
    <row r="44" spans="1:24" ht="18.75" customHeight="1" x14ac:dyDescent="0.3">
      <c r="A44" s="152" t="str">
        <f>Scholen!$R$27</f>
        <v>Laurentius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2</v>
      </c>
      <c r="R44" s="85">
        <f t="shared" si="2"/>
        <v>1</v>
      </c>
      <c r="S44" s="85">
        <f t="shared" si="3"/>
        <v>1</v>
      </c>
      <c r="T44" s="85">
        <f t="shared" si="4"/>
        <v>0</v>
      </c>
      <c r="U44" s="85">
        <f>L12+J16+J19+L24+J29+L31+L38</f>
        <v>3</v>
      </c>
      <c r="V44" s="85">
        <f>J12+L16+L19+J24+L29+J31+J38</f>
        <v>2</v>
      </c>
      <c r="W44" s="85">
        <f>R12+Q16+Q19+R24+Q29+R31+R38</f>
        <v>3</v>
      </c>
      <c r="X44" s="93">
        <f t="shared" si="1"/>
        <v>2</v>
      </c>
    </row>
    <row r="45" spans="1:24" ht="18.75" customHeight="1" x14ac:dyDescent="0.3">
      <c r="A45" s="145" t="str">
        <f>Scholen!$R$28</f>
        <v>Gabriël J6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2</v>
      </c>
      <c r="R45" s="85">
        <f t="shared" si="2"/>
        <v>0</v>
      </c>
      <c r="S45" s="85">
        <f t="shared" si="3"/>
        <v>2</v>
      </c>
      <c r="T45" s="85">
        <f t="shared" si="4"/>
        <v>0</v>
      </c>
      <c r="U45" s="85">
        <f>J13+L16+L20+J26+L30+L34+J37</f>
        <v>0</v>
      </c>
      <c r="V45" s="85">
        <f>L13+J16+J20+L26+J30+J34+L37</f>
        <v>6</v>
      </c>
      <c r="W45" s="85">
        <f>Q13+R16+R20+Q26+R30+R34+Q37</f>
        <v>3</v>
      </c>
      <c r="X45" s="93">
        <f t="shared" si="1"/>
        <v>6</v>
      </c>
    </row>
    <row r="46" spans="1:24" ht="18.75" customHeight="1" x14ac:dyDescent="0.3">
      <c r="A46" s="145" t="str">
        <f>Scholen!$R$29</f>
        <v>Maria J9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3</v>
      </c>
      <c r="V46" s="85">
        <f>J13+L17+L22+L24+J27+J33+L36</f>
        <v>0</v>
      </c>
      <c r="W46" s="85">
        <f>R13+Q17+Q22+Q24+R27+R33+Q36</f>
        <v>2</v>
      </c>
      <c r="X46" s="93">
        <f t="shared" si="1"/>
        <v>2</v>
      </c>
    </row>
    <row r="47" spans="1:24" ht="18.75" customHeight="1" x14ac:dyDescent="0.3">
      <c r="A47" s="145" t="str">
        <f>IF(Scholen!$R$30&lt;&gt;"",Scholen!$R$30,"")</f>
        <v>Eglantier-B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IF(Scholen!$R$31&lt;&gt;"",Scholen!$R$31,"")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>
        <f>Scholen!$B$36</f>
        <v>0</v>
      </c>
      <c r="F8" s="186"/>
      <c r="G8" s="186"/>
      <c r="H8" s="187" t="s">
        <v>21</v>
      </c>
      <c r="I8" s="188" t="str">
        <f>Scholen!$C$34</f>
        <v>S</v>
      </c>
      <c r="J8" s="186" t="s">
        <v>25</v>
      </c>
      <c r="K8" s="247">
        <f>Scholen!$C$35</f>
        <v>19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Scheids!$D$24</f>
        <v>0</v>
      </c>
      <c r="N11" s="9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Scheids!$D$24</f>
        <v>0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Scheids!$D$24</f>
        <v>0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Scheids!$F$24</f>
        <v>0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Scheids!$F$24</f>
        <v>0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Scheids!$F$24</f>
        <v>0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Scheids!$D$24</f>
        <v>0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Scheids!$D$24</f>
        <v>0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Scheids!$D$24</f>
        <v>0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Scheids!$F$24</f>
        <v>0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Scheids!$F$24</f>
        <v>0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Scheids!$F$24</f>
        <v>0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Scheids!$D$24</f>
        <v>0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Scheids!$D$24</f>
        <v>0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Scheids!$D$24</f>
        <v>0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Scheids!$F$24</f>
        <v>0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Scheids!$F$24</f>
        <v>0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Scheids!$F$24</f>
        <v>0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Scheids!$D$24</f>
        <v>0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Scheids!$F$24</f>
        <v>0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Scheids!$F$24</f>
        <v>0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Scholen!$B$38</f>
        <v>0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>
        <f>Scholen!$B$39</f>
        <v>0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>
        <f>Scholen!$B$40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>
        <f>Scholen!$B$41</f>
        <v>0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>
        <f>Scholen!$B$42</f>
        <v>0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>
        <f>Scholen!$B$43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IF(Scholen!$B$44&lt;&gt;"",Scholen!$B$44,"")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IF(Scholen!$B$45&lt;&gt;"",Scholen!$B$45,"")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80"/>
      <c r="E8" s="183">
        <f>Scholen!$D$36</f>
        <v>0</v>
      </c>
      <c r="F8" s="80"/>
      <c r="G8" s="80"/>
      <c r="H8" s="187" t="s">
        <v>21</v>
      </c>
      <c r="I8" s="188" t="str">
        <f>Scholen!$E$34</f>
        <v>T</v>
      </c>
      <c r="J8" s="186" t="s">
        <v>25</v>
      </c>
      <c r="K8" s="247">
        <f>Scholen!$E$35</f>
        <v>20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Scheids!$D$25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Scheids!$D$25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Scheids!$D$25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Scheids!$F$25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Scheids!$F$25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Scheids!$F$25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Scheids!$D$25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Scheids!$D$25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Scheids!$D$25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Scheids!$F$25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Scheids!$F$25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Scheids!$F$25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Scheids!$D$25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Scheids!$D$25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Scheids!$D$25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Scheids!$F$25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Scheids!$F$25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Scheids!$F$25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Scheids!$D$25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Scheids!$F$25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Scheids!$F$25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50">
        <f>Scholen!$D$38</f>
        <v>0</v>
      </c>
      <c r="B41" s="151"/>
      <c r="C41" s="151"/>
      <c r="D41" s="20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5">
        <f>Scholen!$D$39</f>
        <v>0</v>
      </c>
      <c r="B42" s="146"/>
      <c r="C42" s="146"/>
      <c r="D42" s="147"/>
      <c r="E42" s="147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5">
        <f>Scholen!$D$40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5">
        <f>Scholen!$D$41</f>
        <v>0</v>
      </c>
      <c r="B44" s="146"/>
      <c r="C44" s="146"/>
      <c r="D44" s="147"/>
      <c r="E44" s="147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2">
        <f>Scholen!$D$42</f>
        <v>0</v>
      </c>
      <c r="B45" s="153"/>
      <c r="C45" s="153"/>
      <c r="D45" s="41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5">
        <f>Scholen!$D$43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5" t="str">
        <f>IF(Scholen!$D$44&lt;&gt;"",Scholen!$D$44,"")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5" t="str">
        <f>IF(Scholen!$D$45&lt;&gt;"",Scholen!$D$45,"")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">
        <v>63</v>
      </c>
      <c r="B8" s="183"/>
      <c r="C8" s="183"/>
      <c r="D8" s="186"/>
      <c r="E8" s="183">
        <f>Scholen!$F$36</f>
        <v>0</v>
      </c>
      <c r="F8" s="186"/>
      <c r="G8" s="186"/>
      <c r="H8" s="187" t="s">
        <v>21</v>
      </c>
      <c r="I8" s="188" t="str">
        <f>Scholen!$G$34</f>
        <v>U</v>
      </c>
      <c r="J8" s="186" t="s">
        <v>25</v>
      </c>
      <c r="K8" s="247">
        <f>Scholen!$G$35</f>
        <v>21</v>
      </c>
      <c r="L8" s="247"/>
      <c r="M8" s="187"/>
      <c r="N8" s="248">
        <v>45385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02"/>
      <c r="G11" s="102" t="s">
        <v>11</v>
      </c>
      <c r="H11" s="102">
        <f>$A$42</f>
        <v>0</v>
      </c>
      <c r="I11" s="193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Scheids!$F$26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Scholen!$F$38</f>
        <v>0</v>
      </c>
      <c r="B41" s="146"/>
      <c r="C41" s="146"/>
      <c r="D41" s="147"/>
      <c r="E41" s="147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Scholen!$F$39</f>
        <v>0</v>
      </c>
      <c r="B42" s="151"/>
      <c r="C42" s="151"/>
      <c r="D42" s="20"/>
      <c r="E42" s="147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Scholen!$F$40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Scholen!$F$41</f>
        <v>0</v>
      </c>
      <c r="B44" s="153"/>
      <c r="C44" s="153"/>
      <c r="D44" s="41"/>
      <c r="E44" s="147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Scholen!$F$42</f>
        <v>0</v>
      </c>
      <c r="B45" s="146"/>
      <c r="C45" s="146"/>
      <c r="D45" s="147"/>
      <c r="E45" s="20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Scholen!$F$43</f>
        <v>0</v>
      </c>
      <c r="B46" s="146"/>
      <c r="C46" s="146"/>
      <c r="D46" s="147"/>
      <c r="E46" s="147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IF(Scholen!$F$44&lt;&gt;"",Scholen!$F$44,"")</f>
        <v/>
      </c>
      <c r="B47" s="146"/>
      <c r="C47" s="146"/>
      <c r="D47" s="147"/>
      <c r="E47" s="214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IF(Scholen!$F$45&lt;&gt;"",Scholen!$F$45,"")</f>
        <v/>
      </c>
      <c r="B48" s="146"/>
      <c r="C48" s="146"/>
      <c r="D48" s="147"/>
      <c r="E48" s="41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Scholen!$H$36</f>
        <v>0</v>
      </c>
      <c r="F8" s="130"/>
      <c r="G8" s="130"/>
      <c r="H8" s="131" t="s">
        <v>21</v>
      </c>
      <c r="I8" s="132" t="str">
        <f>Scholen!$I$34</f>
        <v>V</v>
      </c>
      <c r="J8" s="130" t="s">
        <v>25</v>
      </c>
      <c r="K8" s="246">
        <f>Scholen!$I$35</f>
        <v>22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Scheids!$D$27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Scheids!$F$27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Scholen!$H$38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Scholen!$H$39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Scholen!$H$40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Scholen!$H$41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Scholen!$H$42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Scholen!$H$43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IF(Scholen!$H$44&lt;&gt;"",Scholen!$H$44,"")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IF(Scholen!$H$45&lt;&gt;"",Scholen!$H$45,"")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Scholen!$J$36</f>
        <v>0</v>
      </c>
      <c r="F8" s="130"/>
      <c r="G8" s="130"/>
      <c r="H8" s="131" t="s">
        <v>21</v>
      </c>
      <c r="I8" s="132" t="str">
        <f>Scholen!$K$34</f>
        <v>W</v>
      </c>
      <c r="J8" s="130" t="s">
        <v>25</v>
      </c>
      <c r="K8" s="246">
        <f>Scholen!$K$35</f>
        <v>23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Scheids!$D$28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Scheids!$F$28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Scholen!$J$38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Scholen!$J$39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Scholen!$J$40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Scholen!$J$41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Scholen!$J$42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Scholen!$J$43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IF(Scholen!$J$44&lt;&gt;"",Scholen!$J$44,"")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IF(Scholen!$J$45&lt;&gt;"",Scholen!$J$45,"")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Scholen!$L$36</f>
        <v>0</v>
      </c>
      <c r="F8" s="130"/>
      <c r="G8" s="130"/>
      <c r="H8" s="131" t="s">
        <v>21</v>
      </c>
      <c r="I8" s="132" t="str">
        <f>Scholen!$M$34</f>
        <v>X</v>
      </c>
      <c r="J8" s="130" t="s">
        <v>25</v>
      </c>
      <c r="K8" s="246">
        <f>Scholen!$M$35</f>
        <v>24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Scheids!$D$29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Scheids!$F$29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Scholen!$L$38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Scholen!$L$39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Scholen!$L$40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Scholen!$L$41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Scholen!$L$42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Scholen!$L$43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IF(Scholen!$L$44&lt;&gt;"",Scholen!$L$44,"")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IF(Scholen!$L$45&lt;&gt;"",Scholen!$L$45,"")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Scholen!$N$36</f>
        <v>0</v>
      </c>
      <c r="F8" s="130"/>
      <c r="G8" s="130"/>
      <c r="H8" s="131" t="s">
        <v>21</v>
      </c>
      <c r="I8" s="132" t="str">
        <f>Scholen!$O$34</f>
        <v>Y</v>
      </c>
      <c r="J8" s="130" t="s">
        <v>25</v>
      </c>
      <c r="K8" s="246">
        <f>Scholen!$O$35</f>
        <v>25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Scheids!$D$30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Scheids!$F$30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Scholen!$N$38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Scholen!$N$39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Scholen!$N$40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Scholen!$N$41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Scholen!$N$42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Scholen!$N$43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IF(Scholen!$N$44&lt;&gt;"",Scholen!$N$44,"")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IF(Scholen!$N$45&lt;&gt;"",Scholen!$N$45,"")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Scholen!$P$36</f>
        <v>0</v>
      </c>
      <c r="F8" s="130"/>
      <c r="G8" s="130"/>
      <c r="H8" s="131" t="s">
        <v>21</v>
      </c>
      <c r="I8" s="132" t="str">
        <f>Scholen!$Q$34</f>
        <v>Z</v>
      </c>
      <c r="J8" s="130" t="s">
        <v>25</v>
      </c>
      <c r="K8" s="246">
        <f>Scholen!$Q$35</f>
        <v>26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Scheids!$D$31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Scheids!$F$31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Scholen!$P$38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Scholen!$P$39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Scholen!$P$40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Scholen!$P$41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Scholen!$P$42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Scholen!$P$43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IF(Scholen!$P$44&lt;&gt;"",Scholen!$P$44,"")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IF(Scholen!$P$45&lt;&gt;"",Scholen!$P$45,"")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12" zoomScaleNormal="100" workbookViewId="0">
      <selection activeCell="H17" sqref="H17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88" t="s">
        <v>8</v>
      </c>
      <c r="F13" s="97"/>
      <c r="G13" s="97"/>
      <c r="H13" s="182"/>
      <c r="I13" s="89"/>
      <c r="J13" s="46" t="s">
        <v>25</v>
      </c>
      <c r="K13" s="243" t="s">
        <v>9</v>
      </c>
      <c r="L13" s="244"/>
      <c r="M13" s="245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233">
        <v>0.71875</v>
      </c>
      <c r="C14" s="227" t="s">
        <v>11</v>
      </c>
      <c r="D14" s="232">
        <v>0.72291666666666665</v>
      </c>
      <c r="E14" s="111" t="s">
        <v>267</v>
      </c>
      <c r="F14" s="112"/>
      <c r="G14" s="95" t="s">
        <v>11</v>
      </c>
      <c r="H14" s="116" t="s">
        <v>268</v>
      </c>
      <c r="I14" s="17"/>
      <c r="J14" s="227">
        <v>1</v>
      </c>
      <c r="K14" s="16"/>
      <c r="L14" s="95" t="s">
        <v>11</v>
      </c>
      <c r="M14" s="18"/>
      <c r="N14" s="207" t="s">
        <v>274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4" t="s">
        <v>243</v>
      </c>
      <c r="F15" s="115"/>
      <c r="G15" s="27" t="s">
        <v>11</v>
      </c>
      <c r="H15" s="116" t="s">
        <v>244</v>
      </c>
      <c r="I15" s="26"/>
      <c r="J15" s="226">
        <v>2</v>
      </c>
      <c r="K15" s="22"/>
      <c r="L15" s="27" t="s">
        <v>11</v>
      </c>
      <c r="M15" s="28"/>
      <c r="N15" s="208" t="s">
        <v>279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4" t="s">
        <v>245</v>
      </c>
      <c r="F16" s="115"/>
      <c r="G16" s="27" t="s">
        <v>11</v>
      </c>
      <c r="H16" s="116" t="s">
        <v>380</v>
      </c>
      <c r="I16" s="26"/>
      <c r="J16" s="226">
        <v>3</v>
      </c>
      <c r="K16" s="22"/>
      <c r="L16" s="27" t="s">
        <v>11</v>
      </c>
      <c r="M16" s="28"/>
      <c r="N16" s="210" t="s">
        <v>271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4" t="s">
        <v>246</v>
      </c>
      <c r="F17" s="115"/>
      <c r="G17" s="27" t="s">
        <v>11</v>
      </c>
      <c r="H17" s="116" t="s">
        <v>315</v>
      </c>
      <c r="I17" s="26"/>
      <c r="J17" s="226">
        <v>4</v>
      </c>
      <c r="K17" s="22"/>
      <c r="L17" s="27" t="s">
        <v>11</v>
      </c>
      <c r="M17" s="28"/>
      <c r="N17" s="208" t="s">
        <v>378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4" t="s">
        <v>247</v>
      </c>
      <c r="F18" s="115"/>
      <c r="G18" s="27" t="s">
        <v>11</v>
      </c>
      <c r="H18" s="116" t="s">
        <v>269</v>
      </c>
      <c r="I18" s="26"/>
      <c r="J18" s="226">
        <v>5</v>
      </c>
      <c r="K18" s="22"/>
      <c r="L18" s="27" t="s">
        <v>11</v>
      </c>
      <c r="M18" s="28"/>
      <c r="N18" s="208" t="s">
        <v>199</v>
      </c>
      <c r="O18" s="30"/>
      <c r="P18" s="31"/>
      <c r="Q18" s="2" t="s">
        <v>135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4" t="s">
        <v>248</v>
      </c>
      <c r="F19" s="115"/>
      <c r="G19" s="27" t="s">
        <v>11</v>
      </c>
      <c r="H19" s="116" t="s">
        <v>266</v>
      </c>
      <c r="I19" s="26"/>
      <c r="J19" s="226">
        <v>6</v>
      </c>
      <c r="K19" s="22"/>
      <c r="L19" s="27" t="s">
        <v>11</v>
      </c>
      <c r="M19" s="28"/>
      <c r="N19" s="208" t="s">
        <v>134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4" t="s">
        <v>249</v>
      </c>
      <c r="F20" s="115"/>
      <c r="G20" s="27" t="s">
        <v>11</v>
      </c>
      <c r="H20" s="116" t="s">
        <v>265</v>
      </c>
      <c r="I20" s="26"/>
      <c r="J20" s="226">
        <v>7</v>
      </c>
      <c r="K20" s="22"/>
      <c r="L20" s="27" t="s">
        <v>11</v>
      </c>
      <c r="M20" s="28"/>
      <c r="N20" s="208" t="s">
        <v>374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4" t="s">
        <v>250</v>
      </c>
      <c r="F21" s="115"/>
      <c r="G21" s="27" t="s">
        <v>11</v>
      </c>
      <c r="H21" s="116" t="s">
        <v>261</v>
      </c>
      <c r="I21" s="26"/>
      <c r="J21" s="226">
        <v>8</v>
      </c>
      <c r="K21" s="22"/>
      <c r="L21" s="27" t="s">
        <v>11</v>
      </c>
      <c r="M21" s="28"/>
      <c r="N21" s="208" t="s">
        <v>383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16" t="s">
        <v>251</v>
      </c>
      <c r="F22" s="115"/>
      <c r="G22" s="27" t="s">
        <v>11</v>
      </c>
      <c r="H22" s="116" t="s">
        <v>262</v>
      </c>
      <c r="I22" s="26"/>
      <c r="J22" s="228">
        <v>9</v>
      </c>
      <c r="K22" s="23"/>
      <c r="L22" s="27" t="s">
        <v>11</v>
      </c>
      <c r="M22" s="27"/>
      <c r="N22" s="208" t="s">
        <v>368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16" t="s">
        <v>252</v>
      </c>
      <c r="F23" s="115"/>
      <c r="G23" s="27" t="s">
        <v>11</v>
      </c>
      <c r="H23" s="116" t="s">
        <v>263</v>
      </c>
      <c r="I23" s="26"/>
      <c r="J23" s="228">
        <v>10</v>
      </c>
      <c r="K23" s="23"/>
      <c r="L23" s="27" t="s">
        <v>11</v>
      </c>
      <c r="M23" s="27"/>
      <c r="N23" s="208" t="s">
        <v>273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16" t="s">
        <v>253</v>
      </c>
      <c r="F24" s="115"/>
      <c r="G24" s="27" t="s">
        <v>11</v>
      </c>
      <c r="H24" s="116" t="s">
        <v>264</v>
      </c>
      <c r="I24" s="26"/>
      <c r="J24" s="228">
        <v>11</v>
      </c>
      <c r="K24" s="23"/>
      <c r="L24" s="27" t="s">
        <v>11</v>
      </c>
      <c r="M24" s="27"/>
      <c r="N24" s="208" t="s">
        <v>366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16" t="s">
        <v>254</v>
      </c>
      <c r="F25" s="115"/>
      <c r="G25" s="27" t="s">
        <v>11</v>
      </c>
      <c r="H25" s="116" t="s">
        <v>270</v>
      </c>
      <c r="I25" s="26"/>
      <c r="J25" s="228">
        <v>12</v>
      </c>
      <c r="K25" s="23"/>
      <c r="L25" s="27" t="s">
        <v>11</v>
      </c>
      <c r="M25" s="27"/>
      <c r="N25" s="208" t="s">
        <v>64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16" t="s">
        <v>255</v>
      </c>
      <c r="F26" s="115"/>
      <c r="G26" s="27" t="s">
        <v>11</v>
      </c>
      <c r="H26" s="116" t="s">
        <v>257</v>
      </c>
      <c r="I26" s="26"/>
      <c r="J26" s="228">
        <v>13</v>
      </c>
      <c r="K26" s="23"/>
      <c r="L26" s="27" t="s">
        <v>11</v>
      </c>
      <c r="M26" s="27"/>
      <c r="N26" s="208" t="s">
        <v>370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16" t="s">
        <v>256</v>
      </c>
      <c r="F27" s="115"/>
      <c r="G27" s="27" t="s">
        <v>11</v>
      </c>
      <c r="H27" s="116" t="s">
        <v>258</v>
      </c>
      <c r="I27" s="26"/>
      <c r="J27" s="228">
        <v>14</v>
      </c>
      <c r="K27" s="23"/>
      <c r="L27" s="27" t="s">
        <v>11</v>
      </c>
      <c r="M27" s="27"/>
      <c r="N27" s="208" t="s">
        <v>373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16" t="s">
        <v>381</v>
      </c>
      <c r="F28" s="115"/>
      <c r="G28" s="27" t="s">
        <v>11</v>
      </c>
      <c r="H28" s="116" t="s">
        <v>259</v>
      </c>
      <c r="I28" s="26"/>
      <c r="J28" s="228">
        <v>15</v>
      </c>
      <c r="K28" s="23"/>
      <c r="L28" s="27" t="s">
        <v>11</v>
      </c>
      <c r="M28" s="27"/>
      <c r="N28" s="208" t="s">
        <v>280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16" t="s">
        <v>382</v>
      </c>
      <c r="F29" s="118"/>
      <c r="G29" s="38" t="s">
        <v>11</v>
      </c>
      <c r="H29" s="116" t="s">
        <v>260</v>
      </c>
      <c r="I29" s="37"/>
      <c r="J29" s="229">
        <v>16</v>
      </c>
      <c r="K29" s="34"/>
      <c r="L29" s="38" t="s">
        <v>11</v>
      </c>
      <c r="M29" s="38"/>
      <c r="N29" s="209" t="s">
        <v>376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2"/>
      <c r="F30" s="112"/>
      <c r="G30" s="95"/>
      <c r="H30" s="112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5"/>
      <c r="F31" s="115"/>
      <c r="G31" s="27"/>
      <c r="H31" s="115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5"/>
      <c r="F32" s="115"/>
      <c r="G32" s="27"/>
      <c r="H32" s="115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42" t="s">
        <v>7</v>
      </c>
      <c r="C34" s="242"/>
      <c r="D34" s="242"/>
      <c r="E34" s="88" t="s">
        <v>8</v>
      </c>
      <c r="F34" s="97"/>
      <c r="G34" s="97"/>
      <c r="H34" s="97"/>
      <c r="I34" s="89"/>
      <c r="J34" s="46" t="s">
        <v>25</v>
      </c>
      <c r="K34" s="243" t="s">
        <v>9</v>
      </c>
      <c r="L34" s="244"/>
      <c r="M34" s="245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231" t="s">
        <v>71</v>
      </c>
      <c r="C35" s="227" t="s">
        <v>11</v>
      </c>
      <c r="D35" s="232">
        <v>0.73333333333333328</v>
      </c>
      <c r="E35" s="111" t="str">
        <f>IF(AND(K14&lt;&gt;"",M14&lt;&gt;""),IF(K14&gt;M14,E14,IF(K14&lt;M14,#REF!,"Winnaar 29")),"Winnaar 29")</f>
        <v>Winnaar 29</v>
      </c>
      <c r="F35" s="112"/>
      <c r="G35" s="95" t="s">
        <v>11</v>
      </c>
      <c r="H35" s="113" t="str">
        <f>IF(AND(K15&lt;&gt;"",M15&lt;&gt;""),IF(K15&gt;M15,E15,IF(K15&lt;M15,H15,"Winnaar 30")),"Winnaar 30")</f>
        <v>Winnaar 30</v>
      </c>
      <c r="I35" s="17"/>
      <c r="J35" s="227">
        <v>1</v>
      </c>
      <c r="K35" s="16"/>
      <c r="L35" s="95" t="s">
        <v>11</v>
      </c>
      <c r="M35" s="18"/>
      <c r="N35" s="210" t="s">
        <v>274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4" t="str">
        <f>IF(AND(K16&lt;&gt;"",M16&lt;&gt;""),IF(K16&gt;M16,E16,IF(K16&lt;M16,H16,"Winnaar 31")),"Winnaar 31")</f>
        <v>Winnaar 31</v>
      </c>
      <c r="F36" s="115"/>
      <c r="G36" s="27" t="s">
        <v>11</v>
      </c>
      <c r="H36" s="116" t="str">
        <f>IF(AND(K17&lt;&gt;"",M17&lt;&gt;""),IF(K17&gt;M17,E17,IF(K17&lt;M17,H17,"Winnaar 32")),"Winnaar 32")</f>
        <v>Winnaar 32</v>
      </c>
      <c r="I36" s="26"/>
      <c r="J36" s="226">
        <v>2</v>
      </c>
      <c r="K36" s="22"/>
      <c r="L36" s="27" t="s">
        <v>11</v>
      </c>
      <c r="M36" s="28"/>
      <c r="N36" s="210" t="s">
        <v>368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4" t="str">
        <f>IF(AND(K18&lt;&gt;"",M18&lt;&gt;""),IF(K18&gt;M18,E18,IF(K18&lt;M18,H18,"Winnaar 33")),"Winnaar 33")</f>
        <v>Winnaar 33</v>
      </c>
      <c r="F37" s="115"/>
      <c r="G37" s="27" t="s">
        <v>11</v>
      </c>
      <c r="H37" s="116" t="str">
        <f>IF(AND(K19&lt;&gt;"",M19&lt;&gt;""),IF(K19&gt;M19,E19,IF(K19&lt;M19,H19,"Winnaar 34")),"Winnaar 34")</f>
        <v>Winnaar 34</v>
      </c>
      <c r="I37" s="26"/>
      <c r="J37" s="226">
        <v>3</v>
      </c>
      <c r="K37" s="22"/>
      <c r="L37" s="27" t="s">
        <v>11</v>
      </c>
      <c r="M37" s="28"/>
      <c r="N37" s="210" t="s">
        <v>273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4" t="str">
        <f>IF(AND(K20&lt;&gt;"",M20&lt;&gt;""),IF(K20&gt;M20,E20,IF(K20&lt;M20,H17,"Winnaar 35")),"Winnaar 35")</f>
        <v>Winnaar 35</v>
      </c>
      <c r="F38" s="115"/>
      <c r="G38" s="27" t="s">
        <v>11</v>
      </c>
      <c r="H38" s="116" t="str">
        <f>IF(AND(K21&lt;&gt;"",M21&lt;&gt;""),IF(K21&gt;M21,E21,IF(K21&lt;M21,H14,"Winnaar 36")),"Winnaar 36")</f>
        <v>Winnaar 36</v>
      </c>
      <c r="I38" s="26"/>
      <c r="J38" s="226">
        <v>4</v>
      </c>
      <c r="K38" s="22"/>
      <c r="L38" s="27" t="s">
        <v>11</v>
      </c>
      <c r="M38" s="28"/>
      <c r="N38" s="210" t="s">
        <v>379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4" t="str">
        <f>IF(AND(K22&lt;&gt;"",M22&lt;&gt;""),IF(K22&gt;M22,E22,IF(K22&lt;M22,H22,"Winnaar 37")),"Winnaar 37")</f>
        <v>Winnaar 37</v>
      </c>
      <c r="F39" s="115"/>
      <c r="G39" s="27" t="s">
        <v>11</v>
      </c>
      <c r="H39" s="116" t="str">
        <f>IF(AND(K23&lt;&gt;"",M23&lt;&gt;""),IF(K23&gt;M23,E23,IF(K23&lt;M23,H23,"Winnaar 38")),"Winnaar 38")</f>
        <v>Winnaar 38</v>
      </c>
      <c r="I39" s="26"/>
      <c r="J39" s="226">
        <v>5</v>
      </c>
      <c r="K39" s="22"/>
      <c r="L39" s="27" t="s">
        <v>11</v>
      </c>
      <c r="M39" s="28"/>
      <c r="N39" s="210" t="s">
        <v>152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4" t="str">
        <f>IF(AND(K24&lt;&gt;"",M24&lt;&gt;""),IF(K24&gt;M24,E24,IF(K24&lt;M24,H24,"Winnaar 39")),"Winnaar 39")</f>
        <v>Winnaar 39</v>
      </c>
      <c r="F40" s="115"/>
      <c r="G40" s="27" t="s">
        <v>11</v>
      </c>
      <c r="H40" s="116" t="str">
        <f>IF(AND(K25&lt;&gt;"",M25&lt;&gt;""),IF(K25&gt;M25,E25,IF(K25&lt;M25,H25,"Winnaar 40")),"Winnaar 40")</f>
        <v>Winnaar 40</v>
      </c>
      <c r="I40" s="26"/>
      <c r="J40" s="226">
        <v>6</v>
      </c>
      <c r="K40" s="22"/>
      <c r="L40" s="27" t="s">
        <v>11</v>
      </c>
      <c r="M40" s="28"/>
      <c r="N40" s="210" t="s">
        <v>383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4" t="str">
        <f>IF(AND(K26&lt;&gt;"",M26&lt;&gt;""),IF(K26&gt;M26,E26,IF(K26&lt;M26,H26,"Winnaar 41")),"Winnaar 41")</f>
        <v>Winnaar 41</v>
      </c>
      <c r="F41" s="115"/>
      <c r="G41" s="27" t="s">
        <v>11</v>
      </c>
      <c r="H41" s="116" t="str">
        <f>IF(AND(K27&lt;&gt;"",M27&lt;&gt;""),IF(K27&gt;M27,E27,IF(K27&lt;M27,H27,"Winnaar 42")),"Winnaar 42")</f>
        <v>Winnaar 42</v>
      </c>
      <c r="I41" s="26"/>
      <c r="J41" s="226">
        <v>7</v>
      </c>
      <c r="K41" s="22"/>
      <c r="L41" s="27" t="s">
        <v>11</v>
      </c>
      <c r="M41" s="28"/>
      <c r="N41" s="210" t="s">
        <v>366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17" t="str">
        <f>IF(AND(K28&lt;&gt;"",M28&lt;&gt;""),IF(K28&gt;M28,E28,IF(K28&lt;M28,H28,"Winnaar 43")),"Winnaar 43")</f>
        <v>Winnaar 43</v>
      </c>
      <c r="F42" s="118"/>
      <c r="G42" s="38" t="s">
        <v>11</v>
      </c>
      <c r="H42" s="119" t="str">
        <f>IF(AND(K29&lt;&gt;"",M29&lt;&gt;""),IF(K29&gt;M29,E29,IF(K29&lt;M29,H29,"Winnaar 44")),"Winnaar 44")</f>
        <v>Winnaar 44</v>
      </c>
      <c r="I42" s="37"/>
      <c r="J42" s="230">
        <v>8</v>
      </c>
      <c r="K42" s="33"/>
      <c r="L42" s="38" t="s">
        <v>11</v>
      </c>
      <c r="M42" s="39"/>
      <c r="N42" s="210" t="s">
        <v>365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12" zoomScaleNormal="100" workbookViewId="0">
      <selection activeCell="T18" sqref="T1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11" t="s">
        <v>8</v>
      </c>
      <c r="F13" s="12"/>
      <c r="G13" s="12"/>
      <c r="H13" s="12"/>
      <c r="I13" s="13"/>
      <c r="J13" s="46" t="s">
        <v>25</v>
      </c>
      <c r="K13" s="243" t="s">
        <v>9</v>
      </c>
      <c r="L13" s="244"/>
      <c r="M13" s="245"/>
      <c r="N13" s="121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233">
        <v>0.73958333333333337</v>
      </c>
      <c r="C14" s="227" t="s">
        <v>11</v>
      </c>
      <c r="D14" s="234">
        <v>0.74375000000000002</v>
      </c>
      <c r="E14" s="111" t="str">
        <f>IF(AND(Finales1!K35&lt;&gt;"",Finales1!M35&lt;&gt;""),IF(Finales1!K35&gt;Finales1!M35,Finales1!E35,IF(Finales1!K35&lt;Finales1!M35,Finales1!H35,"Winnaar 45")),"Winnaar 45")</f>
        <v>Winnaar 45</v>
      </c>
      <c r="F14" s="112"/>
      <c r="G14" s="95" t="s">
        <v>11</v>
      </c>
      <c r="H14" s="113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227">
        <v>1</v>
      </c>
      <c r="K14" s="16"/>
      <c r="L14" s="95" t="s">
        <v>11</v>
      </c>
      <c r="M14" s="18"/>
      <c r="N14" s="210" t="s">
        <v>371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4" t="str">
        <f>IF(AND(Finales1!K37&lt;&gt;"",Finales1!M37&lt;&gt;""),IF(Finales1!K37&gt;Finales1!M37,Finales1!E37,IF(Finales1!K37&lt;Finales1!M37,Finales1!H37,"Winnaar 47")),"Winnaar 47")</f>
        <v>Winnaar 47</v>
      </c>
      <c r="F15" s="115"/>
      <c r="G15" s="27" t="s">
        <v>11</v>
      </c>
      <c r="H15" s="116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26">
        <v>2</v>
      </c>
      <c r="K15" s="22"/>
      <c r="L15" s="27" t="s">
        <v>11</v>
      </c>
      <c r="M15" s="28"/>
      <c r="N15" s="210" t="s">
        <v>271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4" t="str">
        <f>IF(AND(Finales1!K39&lt;&gt;"",Finales1!M39&lt;&gt;""),IF(Finales1!K39&gt;Finales1!M39,Finales1!E39,IF(Finales1!K39&lt;Finales1!M39,Finales1!H39,"Winnaar 49")),"Winnaar 49")</f>
        <v>Winnaar 49</v>
      </c>
      <c r="F16" s="115"/>
      <c r="G16" s="27" t="s">
        <v>11</v>
      </c>
      <c r="H16" s="116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26">
        <v>3</v>
      </c>
      <c r="K16" s="22"/>
      <c r="L16" s="27" t="s">
        <v>11</v>
      </c>
      <c r="M16" s="28"/>
      <c r="N16" s="210" t="s">
        <v>134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17" t="str">
        <f>IF(AND(Finales1!K41&lt;&gt;"",Finales1!M41&lt;&gt;""),IF(Finales1!K41&gt;Finales1!M41,Finales1!E41,IF(Finales1!K41&lt;Finales1!M41,Finales1!H41,"Winnaar 51")),"Winnaar 51")</f>
        <v>Winnaar 51</v>
      </c>
      <c r="F17" s="118"/>
      <c r="G17" s="38" t="s">
        <v>11</v>
      </c>
      <c r="H17" s="119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230">
        <v>4</v>
      </c>
      <c r="K17" s="33"/>
      <c r="L17" s="38" t="s">
        <v>11</v>
      </c>
      <c r="M17" s="39"/>
      <c r="N17" s="210" t="s">
        <v>372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3"/>
      <c r="F18" s="112"/>
      <c r="G18" s="95"/>
      <c r="H18" s="113"/>
      <c r="I18" s="94"/>
      <c r="J18" s="92"/>
      <c r="K18" s="92"/>
      <c r="L18" s="95"/>
      <c r="M18" s="95"/>
      <c r="N18" s="96"/>
      <c r="O18" s="96"/>
      <c r="P18" s="96"/>
      <c r="Q18" s="2" t="s">
        <v>135</v>
      </c>
      <c r="T18" s="61"/>
    </row>
    <row r="19" spans="1:25" ht="18.75" customHeight="1" x14ac:dyDescent="0.3">
      <c r="A19" s="42"/>
      <c r="B19" s="23"/>
      <c r="C19" s="23"/>
      <c r="D19" s="23"/>
      <c r="E19" s="115"/>
      <c r="F19" s="115"/>
      <c r="G19" s="27"/>
      <c r="H19" s="115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18"/>
      <c r="F20" s="118"/>
      <c r="G20" s="38"/>
      <c r="H20" s="118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42" t="s">
        <v>7</v>
      </c>
      <c r="C21" s="242"/>
      <c r="D21" s="242"/>
      <c r="E21" s="11" t="s">
        <v>8</v>
      </c>
      <c r="F21" s="12"/>
      <c r="G21" s="12"/>
      <c r="H21" s="12"/>
      <c r="I21" s="13"/>
      <c r="J21" s="46" t="s">
        <v>25</v>
      </c>
      <c r="K21" s="243" t="s">
        <v>9</v>
      </c>
      <c r="L21" s="244"/>
      <c r="M21" s="245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233">
        <v>0.74722222222222223</v>
      </c>
      <c r="C22" s="227" t="s">
        <v>11</v>
      </c>
      <c r="D22" s="234">
        <v>0.75138888888888888</v>
      </c>
      <c r="E22" s="111" t="str">
        <f>IF(AND(Finales2!K14&lt;&gt;"",Finales2!M14&lt;&gt;""),IF(Finales2!K14&gt;Finales2!M14,Finales2!E14,IF(Finales2!K14&lt;Finales2!M14,Finales2!H14,"Winnaar 53")),"Winnaar 53")</f>
        <v>Winnaar 53</v>
      </c>
      <c r="F22" s="112"/>
      <c r="G22" s="95" t="s">
        <v>11</v>
      </c>
      <c r="H22" s="113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227">
        <v>1</v>
      </c>
      <c r="K22" s="16"/>
      <c r="L22" s="95" t="s">
        <v>11</v>
      </c>
      <c r="M22" s="18"/>
      <c r="N22" s="210" t="s">
        <v>368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17" t="str">
        <f>IF(AND(Finales2!K16&lt;&gt;"",Finales2!M16&lt;&gt;""),IF(Finales2!K16&gt;Finales2!M16,Finales2!E16,IF(Finales2!K16&lt;Finales2!M16,Finales2!H16,"Winnaar 55")),"Winnaar 55")</f>
        <v>Winnaar 55</v>
      </c>
      <c r="F23" s="118"/>
      <c r="G23" s="38" t="s">
        <v>11</v>
      </c>
      <c r="H23" s="119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230">
        <v>2</v>
      </c>
      <c r="K23" s="33"/>
      <c r="L23" s="38" t="s">
        <v>11</v>
      </c>
      <c r="M23" s="39"/>
      <c r="N23" s="210" t="s">
        <v>273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3"/>
      <c r="F24" s="112"/>
      <c r="G24" s="95"/>
      <c r="H24" s="113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5"/>
      <c r="F25" s="115"/>
      <c r="G25" s="27"/>
      <c r="H25" s="115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18"/>
      <c r="G26" s="38"/>
      <c r="H26" s="118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42" t="s">
        <v>7</v>
      </c>
      <c r="C27" s="242"/>
      <c r="D27" s="242"/>
      <c r="E27" s="11" t="s">
        <v>8</v>
      </c>
      <c r="F27" s="12"/>
      <c r="G27" s="12"/>
      <c r="H27" s="12"/>
      <c r="I27" s="13"/>
      <c r="J27" s="46" t="s">
        <v>25</v>
      </c>
      <c r="K27" s="243" t="s">
        <v>9</v>
      </c>
      <c r="L27" s="244"/>
      <c r="M27" s="245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233">
        <v>0.75694444444444442</v>
      </c>
      <c r="C28" s="227" t="s">
        <v>11</v>
      </c>
      <c r="D28" s="234">
        <v>0.76041666666666663</v>
      </c>
      <c r="E28" s="111" t="str">
        <f>IF(AND(Finales2!K22&lt;&gt;"",Finales2!M22&lt;&gt;""),IF(Finales2!K22&gt;Finales2!M22,Finales2!E22,IF(Finales2!K22&lt;Finales2!M22,Finales2!H22,"Winnaar 57")),"Winnaar 57")</f>
        <v>Winnaar 57</v>
      </c>
      <c r="F28" s="112"/>
      <c r="G28" s="95" t="s">
        <v>11</v>
      </c>
      <c r="H28" s="113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227">
        <v>1</v>
      </c>
      <c r="K28" s="16"/>
      <c r="L28" s="95" t="s">
        <v>11</v>
      </c>
      <c r="M28" s="18"/>
      <c r="N28" s="210" t="s">
        <v>199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17" t="str">
        <f>IF(AND(Finales2!K22&lt;&gt;"",Finales2!M22&lt;&gt;""),IF(Finales2!K22&lt;Finales2!M22,Finales2!E22,IF(Finales2!K22&gt;Finales2!M22,Finales2!H22,"Verliezer 57")),"Verliezer 57")</f>
        <v>Verliezer 57</v>
      </c>
      <c r="F29" s="118"/>
      <c r="G29" s="38" t="s">
        <v>11</v>
      </c>
      <c r="H29" s="119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230">
        <v>2</v>
      </c>
      <c r="K29" s="33"/>
      <c r="L29" s="38" t="s">
        <v>11</v>
      </c>
      <c r="M29" s="39"/>
      <c r="N29" s="210" t="s">
        <v>366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2"/>
      <c r="B31" s="23"/>
      <c r="C31" s="23"/>
      <c r="D31" s="23"/>
      <c r="E31" s="47"/>
      <c r="F31" s="25"/>
      <c r="G31" s="23"/>
      <c r="H31" s="47"/>
      <c r="I31" s="25"/>
      <c r="J31" s="23"/>
      <c r="K31" s="123" t="s">
        <v>136</v>
      </c>
      <c r="L31" s="27"/>
      <c r="M31" s="27"/>
      <c r="N31" s="30"/>
      <c r="O31" s="30"/>
      <c r="P31" s="30"/>
    </row>
    <row r="32" spans="1:25" ht="18.75" customHeight="1" x14ac:dyDescent="0.3">
      <c r="A32" s="122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227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228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229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230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231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232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233</v>
      </c>
      <c r="B45" s="23"/>
      <c r="C45" s="23"/>
      <c r="D45" s="23"/>
      <c r="E45" s="25"/>
      <c r="F45" s="25"/>
      <c r="G45" s="124"/>
      <c r="H45" s="216"/>
      <c r="I45" s="124"/>
      <c r="J45" s="48"/>
      <c r="K45" s="125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234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235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2026-04-07T09:28:31Z</cp:lastPrinted>
  <dcterms:created xsi:type="dcterms:W3CDTF">2005-02-28T21:00:39Z</dcterms:created>
  <dcterms:modified xsi:type="dcterms:W3CDTF">2026-04-08T12:34:23Z</dcterms:modified>
</cp:coreProperties>
</file>