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theme/themeOverride1.xml" ContentType="application/vnd.openxmlformats-officedocument.themeOverride+xml"/>
  <Override PartName="/xl/charts/chart3.xml" ContentType="application/vnd.openxmlformats-officedocument.drawingml.chart+xml"/>
  <Override PartName="/xl/drawings/drawing4.xml" ContentType="application/vnd.openxmlformats-officedocument.drawing+xml"/>
  <Override PartName="/xl/tables/table1.xml" ContentType="application/vnd.openxmlformats-officedocument.spreadsheetml.table+xml"/>
  <Override PartName="/xl/charts/chart4.xml" ContentType="application/vnd.openxmlformats-officedocument.drawingml.chart+xml"/>
  <Override PartName="/xl/theme/themeOverride2.xml" ContentType="application/vnd.openxmlformats-officedocument.themeOverride+xml"/>
  <Override PartName="/xl/drawings/drawing5.xml" ContentType="application/vnd.openxmlformats-officedocument.drawingml.chartshapes+xml"/>
  <Override PartName="/xl/charts/chart5.xml" ContentType="application/vnd.openxmlformats-officedocument.drawingml.chart+xml"/>
  <Override PartName="/xl/drawings/drawing6.xml" ContentType="application/vnd.openxmlformats-officedocument.drawingml.chartshapes+xml"/>
  <Override PartName="/xl/drawings/drawing7.xml" ContentType="application/vnd.openxmlformats-officedocument.drawing+xml"/>
  <Override PartName="/xl/charts/chart6.xml" ContentType="application/vnd.openxmlformats-officedocument.drawingml.chart+xml"/>
  <Override PartName="/xl/drawings/drawing8.xml" ContentType="application/vnd.openxmlformats-officedocument.drawingml.chartshapes+xml"/>
  <Override PartName="/xl/charts/chart7.xml" ContentType="application/vnd.openxmlformats-officedocument.drawingml.chart+xml"/>
  <Override PartName="/xl/drawings/drawing9.xml" ContentType="application/vnd.openxmlformats-officedocument.drawingml.chartshapes+xml"/>
  <Override PartName="/xl/charts/chart8.xml" ContentType="application/vnd.openxmlformats-officedocument.drawingml.chart+xml"/>
  <Override PartName="/xl/drawings/drawing10.xml" ContentType="application/vnd.openxmlformats-officedocument.drawingml.chartshapes+xml"/>
  <Override PartName="/xl/charts/chart9.xml" ContentType="application/vnd.openxmlformats-officedocument.drawingml.chart+xml"/>
  <Override PartName="/xl/drawings/drawing11.xml" ContentType="application/vnd.openxmlformats-officedocument.drawingml.chartshapes+xml"/>
  <Override PartName="/xl/drawings/drawing12.xml" ContentType="application/vnd.openxmlformats-officedocument.drawing+xml"/>
  <Override PartName="/xl/charts/chart10.xml" ContentType="application/vnd.openxmlformats-officedocument.drawingml.chart+xml"/>
  <Override PartName="/xl/drawings/drawing13.xml" ContentType="application/vnd.openxmlformats-officedocument.drawingml.chartshap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charts/style1.xml" ContentType="application/vnd.ms-office.chartstyle+xml"/>
  <Override PartName="/xl/charts/colors1.xml" ContentType="application/vnd.ms-office.chartcolorstyle+xml"/>
  <Override PartName="/xl/charts/style2.xml" ContentType="application/vnd.ms-office.chartstyle+xml"/>
  <Override PartName="/xl/charts/colors2.xml" ContentType="application/vnd.ms-office.chartcolorstyle+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0225"/>
  <workbookPr codeName="ThisWorkbook" autoCompressPictures="0"/>
  <bookViews>
    <workbookView xWindow="480" yWindow="360" windowWidth="28320" windowHeight="17200" tabRatio="869"/>
  </bookViews>
  <sheets>
    <sheet name="Template_P1" sheetId="11" r:id="rId1"/>
    <sheet name="Template_P2" sheetId="16" r:id="rId2"/>
    <sheet name="Template_P3" sheetId="18" r:id="rId3"/>
    <sheet name="Template_P4" sheetId="13" r:id="rId4"/>
    <sheet name="Graphs" sheetId="15" r:id="rId5"/>
    <sheet name="ID" sheetId="6" r:id="rId6"/>
    <sheet name="ED" sheetId="7" r:id="rId7"/>
    <sheet name="NED" sheetId="8" r:id="rId8"/>
    <sheet name="Chart Data" sheetId="17" r:id="rId9"/>
    <sheet name="Output" sheetId="3" state="hidden" r:id="rId10"/>
    <sheet name="Data" sheetId="12" r:id="rId11"/>
    <sheet name="Calculations_Sheet" sheetId="2" r:id="rId12"/>
    <sheet name="Input" sheetId="1" r:id="rId13"/>
    <sheet name="Peer_List" sheetId="14" r:id="rId14"/>
    <sheet name="QC Checklist" sheetId="19" state="hidden" r:id="rId15"/>
  </sheets>
  <definedNames>
    <definedName name="_xlnm._FilterDatabase" localSheetId="13" hidden="1">Peer_List!$AD$1:$AF$589</definedName>
    <definedName name="AC_Attendance_Threshold">Calculations_Sheet!$B$14</definedName>
    <definedName name="Age_Threshold">Calculations_Sheet!$B$12</definedName>
    <definedName name="Board_Attendance_Threshold">Calculations_Sheet!$B$13</definedName>
    <definedName name="Committee_Attendance_Threshold">Calculations_Sheet!$B$16</definedName>
    <definedName name="Company">Input!$A$1</definedName>
    <definedName name="Company_Name">Calculations_Sheet!$B$18</definedName>
    <definedName name="Director_Classification">Input!$G$3:$G$22</definedName>
    <definedName name="Expertise_List">Template_P2!$N$3:$O$36</definedName>
    <definedName name="graphs">Calculations_Sheet!$B$18</definedName>
    <definedName name="ID_Tenure_Threshold">Calculations_Sheet!$B$7</definedName>
    <definedName name="NC_Attendance_Threshold">Calculations_Sheet!$B$16</definedName>
    <definedName name="Peer1">Calculations_Sheet!$B$22</definedName>
    <definedName name="Peer2">Calculations_Sheet!$B$24</definedName>
    <definedName name="PeerGroup_Id">Calculations_Sheet!$B$20</definedName>
    <definedName name="Pub_Sh">Template_P1!$L$9</definedName>
    <definedName name="Pub_Sh_Data">Data!$A$4:$B$35</definedName>
    <definedName name="Pvt_Sh">Template_P1!$O$9</definedName>
    <definedName name="Pvt_Sh_Data">Data!$D$4:$E$35</definedName>
    <definedName name="RC_Attendance_Threshold">Calculations_Sheet!$B$15</definedName>
    <definedName name="Share_Price">Input!$C$1</definedName>
    <definedName name="Shareholding_Threshold">Calculations_Sheet!$B$4</definedName>
    <definedName name="Template_P1">Template_P1!$B$2:$J$37</definedName>
    <definedName name="Template_P2">Template_P2!$B$2:$I$42</definedName>
    <definedName name="Template_P3">Template_P3!$B$2:$I$27</definedName>
    <definedName name="Template_P4">Template_P4!$B$2:$I$29</definedName>
    <definedName name="Total_Directors">Output!$C$5</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P6" i="11" l="1"/>
  <c r="O5" i="11"/>
  <c r="O6" i="11"/>
  <c r="N5" i="11"/>
  <c r="N6" i="11"/>
  <c r="M5" i="11"/>
  <c r="M6" i="11"/>
  <c r="G6" i="11"/>
  <c r="P11" i="11"/>
  <c r="P24" i="11"/>
  <c r="P23" i="11"/>
  <c r="P22" i="11"/>
  <c r="P14" i="11"/>
  <c r="P13" i="11"/>
  <c r="P21" i="11"/>
  <c r="P15" i="11"/>
  <c r="P20" i="11"/>
  <c r="P19" i="11"/>
  <c r="P16" i="11"/>
  <c r="P12" i="11"/>
  <c r="P18" i="11"/>
  <c r="P17" i="11"/>
  <c r="M11" i="11"/>
  <c r="M14" i="11"/>
  <c r="M15" i="11"/>
  <c r="M13" i="11"/>
  <c r="M12" i="11"/>
  <c r="S3" i="12"/>
  <c r="R3" i="12"/>
  <c r="C53" i="2"/>
  <c r="J53" i="2"/>
  <c r="C54" i="2"/>
  <c r="J54" i="2"/>
  <c r="C55" i="2"/>
  <c r="J55" i="2"/>
  <c r="C56" i="2"/>
  <c r="J56" i="2"/>
  <c r="C57" i="2"/>
  <c r="J57" i="2"/>
  <c r="C58" i="2"/>
  <c r="J58" i="2"/>
  <c r="C59" i="2"/>
  <c r="J59" i="2"/>
  <c r="C60" i="2"/>
  <c r="J60" i="2"/>
  <c r="C61" i="2"/>
  <c r="J61" i="2"/>
  <c r="C62" i="2"/>
  <c r="J62" i="2"/>
  <c r="C63" i="2"/>
  <c r="J63" i="2"/>
  <c r="C64" i="2"/>
  <c r="J64" i="2"/>
  <c r="C65" i="2"/>
  <c r="J65" i="2"/>
  <c r="C66" i="2"/>
  <c r="J66" i="2"/>
  <c r="C67" i="2"/>
  <c r="J67" i="2"/>
  <c r="C68" i="2"/>
  <c r="J68" i="2"/>
  <c r="C69" i="2"/>
  <c r="J69" i="2"/>
  <c r="C70" i="2"/>
  <c r="J70" i="2"/>
  <c r="C71" i="2"/>
  <c r="J71" i="2"/>
  <c r="C72" i="2"/>
  <c r="J72" i="2"/>
  <c r="A28" i="2"/>
  <c r="A53" i="2"/>
  <c r="G53" i="2"/>
  <c r="H53" i="2"/>
  <c r="A29" i="2"/>
  <c r="A54" i="2"/>
  <c r="G54" i="2"/>
  <c r="H54" i="2"/>
  <c r="A30" i="2"/>
  <c r="A55" i="2"/>
  <c r="G55" i="2"/>
  <c r="B55" i="2"/>
  <c r="F55" i="2"/>
  <c r="D55" i="2"/>
  <c r="E55" i="2"/>
  <c r="H55" i="2"/>
  <c r="A31" i="2"/>
  <c r="A56" i="2"/>
  <c r="G56" i="2"/>
  <c r="B56" i="2"/>
  <c r="F56" i="2"/>
  <c r="D56" i="2"/>
  <c r="E56" i="2"/>
  <c r="H56" i="2"/>
  <c r="A32" i="2"/>
  <c r="A57" i="2"/>
  <c r="G57" i="2"/>
  <c r="B57" i="2"/>
  <c r="F57" i="2"/>
  <c r="D57" i="2"/>
  <c r="E57" i="2"/>
  <c r="H57" i="2"/>
  <c r="A33" i="2"/>
  <c r="A58" i="2"/>
  <c r="G58" i="2"/>
  <c r="B58" i="2"/>
  <c r="F58" i="2"/>
  <c r="D58" i="2"/>
  <c r="E58" i="2"/>
  <c r="H58" i="2"/>
  <c r="A34" i="2"/>
  <c r="A59" i="2"/>
  <c r="G59" i="2"/>
  <c r="B59" i="2"/>
  <c r="F59" i="2"/>
  <c r="D59" i="2"/>
  <c r="E59" i="2"/>
  <c r="H59" i="2"/>
  <c r="A35" i="2"/>
  <c r="A60" i="2"/>
  <c r="G60" i="2"/>
  <c r="H60" i="2"/>
  <c r="A36" i="2"/>
  <c r="A61" i="2"/>
  <c r="G61" i="2"/>
  <c r="H61" i="2"/>
  <c r="A37" i="2"/>
  <c r="A62" i="2"/>
  <c r="H62" i="2"/>
  <c r="A38" i="2"/>
  <c r="A63" i="2"/>
  <c r="H63" i="2"/>
  <c r="A39" i="2"/>
  <c r="A64" i="2"/>
  <c r="H64" i="2"/>
  <c r="A40" i="2"/>
  <c r="A65" i="2"/>
  <c r="H65" i="2"/>
  <c r="A41" i="2"/>
  <c r="A66" i="2"/>
  <c r="H66" i="2"/>
  <c r="A42" i="2"/>
  <c r="A67" i="2"/>
  <c r="H67" i="2"/>
  <c r="A43" i="2"/>
  <c r="A68" i="2"/>
  <c r="H68" i="2"/>
  <c r="A44" i="2"/>
  <c r="A69" i="2"/>
  <c r="H69" i="2"/>
  <c r="A45" i="2"/>
  <c r="A70" i="2"/>
  <c r="H70" i="2"/>
  <c r="A46" i="2"/>
  <c r="A71" i="2"/>
  <c r="H71" i="2"/>
  <c r="A47" i="2"/>
  <c r="A72" i="2"/>
  <c r="H72" i="2"/>
  <c r="L18" i="18"/>
  <c r="L19" i="18"/>
  <c r="C5" i="3"/>
  <c r="L17" i="18" a="1"/>
  <c r="L17" i="18"/>
  <c r="K50" i="15"/>
  <c r="K49" i="15"/>
  <c r="K48" i="15"/>
  <c r="J50" i="15"/>
  <c r="J49" i="15"/>
  <c r="J48" i="15"/>
  <c r="I50" i="15"/>
  <c r="I49" i="15"/>
  <c r="I48" i="15"/>
  <c r="I54" i="2"/>
  <c r="I55" i="2"/>
  <c r="I56" i="2"/>
  <c r="I57" i="2"/>
  <c r="I58" i="2"/>
  <c r="I59" i="2"/>
  <c r="I60" i="2"/>
  <c r="I61" i="2"/>
  <c r="I62" i="2"/>
  <c r="I63" i="2"/>
  <c r="I64" i="2"/>
  <c r="I65" i="2"/>
  <c r="I66" i="2"/>
  <c r="I67" i="2"/>
  <c r="I68" i="2"/>
  <c r="I69" i="2"/>
  <c r="I70" i="2"/>
  <c r="I71" i="2"/>
  <c r="I72" i="2"/>
  <c r="I53" i="2"/>
  <c r="G62" i="2"/>
  <c r="G63" i="2"/>
  <c r="G64" i="2"/>
  <c r="G65" i="2"/>
  <c r="G66" i="2"/>
  <c r="G67" i="2"/>
  <c r="G68" i="2"/>
  <c r="G69" i="2"/>
  <c r="G70" i="2"/>
  <c r="G71" i="2"/>
  <c r="G72" i="2"/>
  <c r="D11" i="17"/>
  <c r="D8" i="17"/>
  <c r="H8" i="17"/>
  <c r="G19" i="11"/>
  <c r="L24" i="18"/>
  <c r="H9" i="17"/>
  <c r="H10" i="17"/>
  <c r="E11" i="17"/>
  <c r="E10" i="17"/>
  <c r="E9" i="17"/>
  <c r="E8" i="17"/>
  <c r="K10" i="17"/>
  <c r="K9" i="17"/>
  <c r="K8" i="17"/>
  <c r="J5" i="17"/>
  <c r="J4" i="17"/>
  <c r="G5" i="17"/>
  <c r="G4" i="17"/>
  <c r="D5" i="17"/>
  <c r="D4" i="17"/>
  <c r="I11" i="18"/>
  <c r="I10" i="18"/>
  <c r="H11" i="18"/>
  <c r="H10" i="18"/>
  <c r="I7" i="18"/>
  <c r="H7" i="18"/>
  <c r="E108" i="3" a="1"/>
  <c r="E108" i="3"/>
  <c r="E107" i="3" a="1"/>
  <c r="E107" i="3"/>
  <c r="D108" i="3"/>
  <c r="D107" i="3"/>
  <c r="C108" i="3"/>
  <c r="L108" i="3" a="1"/>
  <c r="L108" i="3"/>
  <c r="C107" i="3"/>
  <c r="C10" i="18"/>
  <c r="B170" i="1" a="1"/>
  <c r="B189" i="1"/>
  <c r="B148" i="1" a="1"/>
  <c r="B164" i="1"/>
  <c r="C11" i="17"/>
  <c r="C8" i="17"/>
  <c r="D10" i="17"/>
  <c r="C10" i="17"/>
  <c r="D9" i="17"/>
  <c r="C9" i="17"/>
  <c r="C11" i="18"/>
  <c r="L107" i="3" a="1"/>
  <c r="L107" i="3"/>
  <c r="B151" i="1"/>
  <c r="B155" i="1"/>
  <c r="B159" i="1"/>
  <c r="B163" i="1"/>
  <c r="B167" i="1"/>
  <c r="B171" i="1"/>
  <c r="B175" i="1"/>
  <c r="B179" i="1"/>
  <c r="B183" i="1"/>
  <c r="B187" i="1"/>
  <c r="B149" i="1"/>
  <c r="B153" i="1"/>
  <c r="B157" i="1"/>
  <c r="B161" i="1"/>
  <c r="B165" i="1"/>
  <c r="B150" i="1"/>
  <c r="B154" i="1"/>
  <c r="B158" i="1"/>
  <c r="B162" i="1"/>
  <c r="B166" i="1"/>
  <c r="B170" i="1"/>
  <c r="B174" i="1"/>
  <c r="B178" i="1"/>
  <c r="B182" i="1"/>
  <c r="B186" i="1"/>
  <c r="B148" i="1"/>
  <c r="B152" i="1"/>
  <c r="B156" i="1"/>
  <c r="B160" i="1"/>
  <c r="B172" i="1"/>
  <c r="B176" i="1"/>
  <c r="B180" i="1"/>
  <c r="B184" i="1"/>
  <c r="B188" i="1"/>
  <c r="B173" i="1"/>
  <c r="B177" i="1"/>
  <c r="B181" i="1"/>
  <c r="B185" i="1"/>
  <c r="B147" i="1"/>
  <c r="B169" i="1"/>
  <c r="C114" i="2"/>
  <c r="B114" i="2"/>
  <c r="I135" i="1"/>
  <c r="H7" i="15"/>
  <c r="G23" i="18"/>
  <c r="D22" i="16"/>
  <c r="E13" i="11"/>
  <c r="D13" i="11"/>
  <c r="I16" i="11"/>
  <c r="I15" i="11"/>
  <c r="I12" i="11"/>
  <c r="I14" i="11"/>
  <c r="I11" i="11"/>
  <c r="I10" i="11"/>
  <c r="I8" i="11"/>
  <c r="I7" i="11"/>
  <c r="G16" i="11"/>
  <c r="G15" i="11"/>
  <c r="G12" i="11"/>
  <c r="G11" i="11"/>
  <c r="G10" i="11"/>
  <c r="G8" i="11"/>
  <c r="G7" i="11"/>
  <c r="E16" i="11"/>
  <c r="E15" i="11"/>
  <c r="E12" i="11"/>
  <c r="E14" i="11"/>
  <c r="E11" i="11"/>
  <c r="E10" i="11"/>
  <c r="E8" i="11"/>
  <c r="E7" i="11"/>
  <c r="E9" i="11"/>
  <c r="D16" i="11"/>
  <c r="D15" i="11"/>
  <c r="D12" i="11"/>
  <c r="D14" i="11"/>
  <c r="D11" i="11"/>
  <c r="D10" i="11"/>
  <c r="D8" i="11"/>
  <c r="D7" i="11"/>
  <c r="C16" i="11"/>
  <c r="C15" i="11"/>
  <c r="C12" i="11"/>
  <c r="C14" i="11"/>
  <c r="C11" i="11"/>
  <c r="C10" i="11"/>
  <c r="C8" i="11"/>
  <c r="C7" i="11"/>
  <c r="C9" i="11"/>
  <c r="I9" i="11"/>
  <c r="D9" i="11"/>
  <c r="G9" i="11"/>
  <c r="G25" i="11"/>
  <c r="G24" i="11"/>
  <c r="G23" i="11"/>
  <c r="G22" i="11"/>
  <c r="G21" i="11"/>
  <c r="G20" i="11"/>
  <c r="L15" i="18"/>
  <c r="B25" i="11"/>
  <c r="B24" i="11"/>
  <c r="B23" i="11"/>
  <c r="B22" i="11"/>
  <c r="B21" i="11"/>
  <c r="B20" i="11"/>
  <c r="B19" i="11"/>
  <c r="N34" i="13"/>
  <c r="M35" i="13"/>
  <c r="N35" i="13"/>
  <c r="M34" i="13"/>
  <c r="H24" i="18"/>
  <c r="J25" i="11"/>
  <c r="J24" i="11"/>
  <c r="J23" i="11"/>
  <c r="J22" i="11"/>
  <c r="J19" i="11"/>
  <c r="J21" i="11"/>
  <c r="J20" i="11"/>
  <c r="G14" i="11"/>
  <c r="H3" i="15"/>
  <c r="H4" i="15"/>
  <c r="H5" i="15"/>
  <c r="H6" i="15"/>
  <c r="B23" i="16"/>
  <c r="C23" i="16"/>
  <c r="O23" i="16"/>
  <c r="G23" i="16"/>
  <c r="D23" i="16"/>
  <c r="F23" i="16"/>
  <c r="I23" i="16"/>
  <c r="H23" i="16"/>
  <c r="E24" i="11"/>
  <c r="E25" i="11"/>
  <c r="I26" i="18"/>
  <c r="G25" i="18"/>
  <c r="H25" i="18"/>
  <c r="G24" i="18"/>
  <c r="H23" i="18"/>
  <c r="H22" i="18"/>
  <c r="G22" i="18"/>
  <c r="G21" i="18"/>
  <c r="G20" i="18"/>
  <c r="H20" i="18"/>
  <c r="G19" i="18"/>
  <c r="H19" i="18"/>
  <c r="G18" i="18"/>
  <c r="D8" i="13"/>
  <c r="E8" i="13"/>
  <c r="F8" i="13"/>
  <c r="G8" i="13"/>
  <c r="H8" i="13"/>
  <c r="I8" i="13"/>
  <c r="AO159" i="14"/>
  <c r="AY177" i="14"/>
  <c r="AX177" i="14"/>
  <c r="AW177" i="14"/>
  <c r="AV177" i="14"/>
  <c r="AU177" i="14"/>
  <c r="AT177" i="14"/>
  <c r="AS177" i="14"/>
  <c r="AR177" i="14"/>
  <c r="AQ177" i="14"/>
  <c r="AP177" i="14"/>
  <c r="AO177" i="14"/>
  <c r="AN177" i="14"/>
  <c r="AM177" i="14"/>
  <c r="AL177" i="14"/>
  <c r="AK177" i="14"/>
  <c r="AY176" i="14"/>
  <c r="AX176" i="14"/>
  <c r="AW176" i="14"/>
  <c r="AV176" i="14"/>
  <c r="AU176" i="14"/>
  <c r="AT176" i="14"/>
  <c r="AS176" i="14"/>
  <c r="AR176" i="14"/>
  <c r="AQ176" i="14"/>
  <c r="AP176" i="14"/>
  <c r="AO176" i="14"/>
  <c r="AN176" i="14"/>
  <c r="AM176" i="14"/>
  <c r="AL176" i="14"/>
  <c r="AK176" i="14"/>
  <c r="AY175" i="14"/>
  <c r="AX175" i="14"/>
  <c r="AW175" i="14"/>
  <c r="AV175" i="14"/>
  <c r="AU175" i="14"/>
  <c r="AT175" i="14"/>
  <c r="AS175" i="14"/>
  <c r="AR175" i="14"/>
  <c r="AQ175" i="14"/>
  <c r="AP175" i="14"/>
  <c r="AO175" i="14"/>
  <c r="AN175" i="14"/>
  <c r="AM175" i="14"/>
  <c r="AL175" i="14"/>
  <c r="AK175" i="14"/>
  <c r="AY174" i="14"/>
  <c r="AX174" i="14"/>
  <c r="AW174" i="14"/>
  <c r="AV174" i="14"/>
  <c r="AU174" i="14"/>
  <c r="AT174" i="14"/>
  <c r="AS174" i="14"/>
  <c r="AR174" i="14"/>
  <c r="AQ174" i="14"/>
  <c r="AP174" i="14"/>
  <c r="AO174" i="14"/>
  <c r="AN174" i="14"/>
  <c r="AM174" i="14"/>
  <c r="AL174" i="14"/>
  <c r="AK174" i="14"/>
  <c r="AY173" i="14"/>
  <c r="AX173" i="14"/>
  <c r="AW173" i="14"/>
  <c r="AV173" i="14"/>
  <c r="AU173" i="14"/>
  <c r="AT173" i="14"/>
  <c r="AS173" i="14"/>
  <c r="AR173" i="14"/>
  <c r="AQ173" i="14"/>
  <c r="AP173" i="14"/>
  <c r="AO173" i="14"/>
  <c r="AN173" i="14"/>
  <c r="AM173" i="14"/>
  <c r="AL173" i="14"/>
  <c r="AK173" i="14"/>
  <c r="AY172" i="14"/>
  <c r="AX172" i="14"/>
  <c r="AW172" i="14"/>
  <c r="AV172" i="14"/>
  <c r="AU172" i="14"/>
  <c r="AT172" i="14"/>
  <c r="AS172" i="14"/>
  <c r="AR172" i="14"/>
  <c r="AQ172" i="14"/>
  <c r="AP172" i="14"/>
  <c r="AO172" i="14"/>
  <c r="AN172" i="14"/>
  <c r="AM172" i="14"/>
  <c r="AL172" i="14"/>
  <c r="AK172" i="14"/>
  <c r="AY171" i="14"/>
  <c r="AX171" i="14"/>
  <c r="AW171" i="14"/>
  <c r="AV171" i="14"/>
  <c r="AU171" i="14"/>
  <c r="AT171" i="14"/>
  <c r="AS171" i="14"/>
  <c r="AR171" i="14"/>
  <c r="AQ171" i="14"/>
  <c r="AP171" i="14"/>
  <c r="AO171" i="14"/>
  <c r="AN171" i="14"/>
  <c r="AM171" i="14"/>
  <c r="AL171" i="14"/>
  <c r="AK171" i="14"/>
  <c r="AY170" i="14"/>
  <c r="AX170" i="14"/>
  <c r="AW170" i="14"/>
  <c r="AV170" i="14"/>
  <c r="AU170" i="14"/>
  <c r="AT170" i="14"/>
  <c r="AS170" i="14"/>
  <c r="AR170" i="14"/>
  <c r="AQ170" i="14"/>
  <c r="AP170" i="14"/>
  <c r="AO170" i="14"/>
  <c r="AN170" i="14"/>
  <c r="AM170" i="14"/>
  <c r="AL170" i="14"/>
  <c r="AK170" i="14"/>
  <c r="AY169" i="14"/>
  <c r="AX169" i="14"/>
  <c r="AW169" i="14"/>
  <c r="AV169" i="14"/>
  <c r="AU169" i="14"/>
  <c r="AT169" i="14"/>
  <c r="AS169" i="14"/>
  <c r="AR169" i="14"/>
  <c r="AQ169" i="14"/>
  <c r="AP169" i="14"/>
  <c r="AO169" i="14"/>
  <c r="AN169" i="14"/>
  <c r="AM169" i="14"/>
  <c r="AL169" i="14"/>
  <c r="AK169" i="14"/>
  <c r="AY168" i="14"/>
  <c r="AX168" i="14"/>
  <c r="AW168" i="14"/>
  <c r="AV168" i="14"/>
  <c r="AU168" i="14"/>
  <c r="AT168" i="14"/>
  <c r="AS168" i="14"/>
  <c r="AR168" i="14"/>
  <c r="AQ168" i="14"/>
  <c r="AP168" i="14"/>
  <c r="AO168" i="14"/>
  <c r="AN168" i="14"/>
  <c r="AM168" i="14"/>
  <c r="AL168" i="14"/>
  <c r="AK168" i="14"/>
  <c r="AY167" i="14"/>
  <c r="AX167" i="14"/>
  <c r="AW167" i="14"/>
  <c r="AV167" i="14"/>
  <c r="AU167" i="14"/>
  <c r="AT167" i="14"/>
  <c r="AS167" i="14"/>
  <c r="AR167" i="14"/>
  <c r="AQ167" i="14"/>
  <c r="AP167" i="14"/>
  <c r="AO167" i="14"/>
  <c r="AN167" i="14"/>
  <c r="AM167" i="14"/>
  <c r="AL167" i="14"/>
  <c r="AK167" i="14"/>
  <c r="AY166" i="14"/>
  <c r="AX166" i="14"/>
  <c r="AW166" i="14"/>
  <c r="AV166" i="14"/>
  <c r="AU166" i="14"/>
  <c r="AT166" i="14"/>
  <c r="AS166" i="14"/>
  <c r="AR166" i="14"/>
  <c r="AQ166" i="14"/>
  <c r="AP166" i="14"/>
  <c r="AO166" i="14"/>
  <c r="AN166" i="14"/>
  <c r="AM166" i="14"/>
  <c r="AL166" i="14"/>
  <c r="AK166" i="14"/>
  <c r="AY165" i="14"/>
  <c r="AX165" i="14"/>
  <c r="AW165" i="14"/>
  <c r="AV165" i="14"/>
  <c r="AU165" i="14"/>
  <c r="AT165" i="14"/>
  <c r="AS165" i="14"/>
  <c r="AR165" i="14"/>
  <c r="AQ165" i="14"/>
  <c r="AP165" i="14"/>
  <c r="AO165" i="14"/>
  <c r="AN165" i="14"/>
  <c r="AM165" i="14"/>
  <c r="AL165" i="14"/>
  <c r="AK165" i="14"/>
  <c r="AY164" i="14"/>
  <c r="AX164" i="14"/>
  <c r="AW164" i="14"/>
  <c r="AV164" i="14"/>
  <c r="AU164" i="14"/>
  <c r="AT164" i="14"/>
  <c r="AS164" i="14"/>
  <c r="AR164" i="14"/>
  <c r="AQ164" i="14"/>
  <c r="AP164" i="14"/>
  <c r="AO164" i="14"/>
  <c r="AN164" i="14"/>
  <c r="AM164" i="14"/>
  <c r="AL164" i="14"/>
  <c r="AK164" i="14"/>
  <c r="AY163" i="14"/>
  <c r="AX163" i="14"/>
  <c r="AW163" i="14"/>
  <c r="AV163" i="14"/>
  <c r="AU163" i="14"/>
  <c r="AT163" i="14"/>
  <c r="AS163" i="14"/>
  <c r="AR163" i="14"/>
  <c r="AQ163" i="14"/>
  <c r="AP163" i="14"/>
  <c r="AO163" i="14"/>
  <c r="AN163" i="14"/>
  <c r="AM163" i="14"/>
  <c r="AL163" i="14"/>
  <c r="AK163" i="14"/>
  <c r="AY162" i="14"/>
  <c r="AX162" i="14"/>
  <c r="AW162" i="14"/>
  <c r="AV162" i="14"/>
  <c r="AU162" i="14"/>
  <c r="AT162" i="14"/>
  <c r="AS162" i="14"/>
  <c r="AR162" i="14"/>
  <c r="AQ162" i="14"/>
  <c r="AP162" i="14"/>
  <c r="AO162" i="14"/>
  <c r="AN162" i="14"/>
  <c r="AM162" i="14"/>
  <c r="AL162" i="14"/>
  <c r="AK162" i="14"/>
  <c r="AY161" i="14"/>
  <c r="AX161" i="14"/>
  <c r="AW161" i="14"/>
  <c r="AV161" i="14"/>
  <c r="AU161" i="14"/>
  <c r="AT161" i="14"/>
  <c r="AS161" i="14"/>
  <c r="AR161" i="14"/>
  <c r="AQ161" i="14"/>
  <c r="AP161" i="14"/>
  <c r="AO161" i="14"/>
  <c r="AN161" i="14"/>
  <c r="AM161" i="14"/>
  <c r="AL161" i="14"/>
  <c r="AK161" i="14"/>
  <c r="AY160" i="14"/>
  <c r="AX160" i="14"/>
  <c r="AW160" i="14"/>
  <c r="AV160" i="14"/>
  <c r="AU160" i="14"/>
  <c r="AT160" i="14"/>
  <c r="AS160" i="14"/>
  <c r="AR160" i="14"/>
  <c r="AQ160" i="14"/>
  <c r="AP160" i="14"/>
  <c r="AO160" i="14"/>
  <c r="AN160" i="14"/>
  <c r="AM160" i="14"/>
  <c r="AL160" i="14"/>
  <c r="AK160" i="14"/>
  <c r="AY159" i="14"/>
  <c r="AX159" i="14"/>
  <c r="AW159" i="14"/>
  <c r="AV159" i="14"/>
  <c r="AU159" i="14"/>
  <c r="AT159" i="14"/>
  <c r="AS159" i="14"/>
  <c r="AR159" i="14"/>
  <c r="AQ159" i="14"/>
  <c r="AP159" i="14"/>
  <c r="AN159" i="14"/>
  <c r="AM159" i="14"/>
  <c r="AL159" i="14"/>
  <c r="AK159" i="14"/>
  <c r="AY158" i="14"/>
  <c r="AX158" i="14"/>
  <c r="AW158" i="14"/>
  <c r="AV158" i="14"/>
  <c r="AU158" i="14"/>
  <c r="AT158" i="14"/>
  <c r="AS158" i="14"/>
  <c r="AR158" i="14"/>
  <c r="AQ158" i="14"/>
  <c r="AP158" i="14"/>
  <c r="AO158" i="14"/>
  <c r="AN158" i="14"/>
  <c r="AM158" i="14"/>
  <c r="AL158" i="14"/>
  <c r="AK158" i="14"/>
  <c r="AY157" i="14"/>
  <c r="AX157" i="14"/>
  <c r="AW157" i="14"/>
  <c r="AV157" i="14"/>
  <c r="AU157" i="14"/>
  <c r="AT157" i="14"/>
  <c r="AS157" i="14"/>
  <c r="AR157" i="14"/>
  <c r="AQ157" i="14"/>
  <c r="AP157" i="14"/>
  <c r="AO157" i="14"/>
  <c r="AN157" i="14"/>
  <c r="AM157" i="14"/>
  <c r="AL157" i="14"/>
  <c r="AK157" i="14"/>
  <c r="AY156" i="14"/>
  <c r="AX156" i="14"/>
  <c r="AW156" i="14"/>
  <c r="AV156" i="14"/>
  <c r="AU156" i="14"/>
  <c r="AT156" i="14"/>
  <c r="AS156" i="14"/>
  <c r="AR156" i="14"/>
  <c r="AQ156" i="14"/>
  <c r="AP156" i="14"/>
  <c r="AO156" i="14"/>
  <c r="AN156" i="14"/>
  <c r="AM156" i="14"/>
  <c r="AL156" i="14"/>
  <c r="AK156" i="14"/>
  <c r="AY155" i="14"/>
  <c r="AX155" i="14"/>
  <c r="AW155" i="14"/>
  <c r="AV155" i="14"/>
  <c r="AU155" i="14"/>
  <c r="AT155" i="14"/>
  <c r="AS155" i="14"/>
  <c r="AR155" i="14"/>
  <c r="AQ155" i="14"/>
  <c r="AP155" i="14"/>
  <c r="AO155" i="14"/>
  <c r="AN155" i="14"/>
  <c r="AM155" i="14"/>
  <c r="AL155" i="14"/>
  <c r="AK155" i="14"/>
  <c r="AY154" i="14"/>
  <c r="AX154" i="14"/>
  <c r="AW154" i="14"/>
  <c r="AV154" i="14"/>
  <c r="AU154" i="14"/>
  <c r="AT154" i="14"/>
  <c r="AS154" i="14"/>
  <c r="AR154" i="14"/>
  <c r="AQ154" i="14"/>
  <c r="AP154" i="14"/>
  <c r="AO154" i="14"/>
  <c r="AN154" i="14"/>
  <c r="AM154" i="14"/>
  <c r="AL154" i="14"/>
  <c r="AK154" i="14"/>
  <c r="AY153" i="14"/>
  <c r="AX153" i="14"/>
  <c r="AW153" i="14"/>
  <c r="AV153" i="14"/>
  <c r="AU153" i="14"/>
  <c r="AT153" i="14"/>
  <c r="AS153" i="14"/>
  <c r="AR153" i="14"/>
  <c r="AQ153" i="14"/>
  <c r="AP153" i="14"/>
  <c r="AO153" i="14"/>
  <c r="AN153" i="14"/>
  <c r="AM153" i="14"/>
  <c r="AL153" i="14"/>
  <c r="AK153" i="14"/>
  <c r="AY152" i="14"/>
  <c r="AX152" i="14"/>
  <c r="AW152" i="14"/>
  <c r="AV152" i="14"/>
  <c r="AU152" i="14"/>
  <c r="AT152" i="14"/>
  <c r="AS152" i="14"/>
  <c r="AR152" i="14"/>
  <c r="AQ152" i="14"/>
  <c r="AP152" i="14"/>
  <c r="AO152" i="14"/>
  <c r="AN152" i="14"/>
  <c r="AM152" i="14"/>
  <c r="AL152" i="14"/>
  <c r="AK152" i="14"/>
  <c r="AY151" i="14"/>
  <c r="AX151" i="14"/>
  <c r="AW151" i="14"/>
  <c r="AV151" i="14"/>
  <c r="AU151" i="14"/>
  <c r="AT151" i="14"/>
  <c r="AS151" i="14"/>
  <c r="AR151" i="14"/>
  <c r="AQ151" i="14"/>
  <c r="AP151" i="14"/>
  <c r="AO151" i="14"/>
  <c r="AN151" i="14"/>
  <c r="AM151" i="14"/>
  <c r="AL151" i="14"/>
  <c r="AK151" i="14"/>
  <c r="AY150" i="14"/>
  <c r="AX150" i="14"/>
  <c r="AW150" i="14"/>
  <c r="AV150" i="14"/>
  <c r="AU150" i="14"/>
  <c r="AT150" i="14"/>
  <c r="AS150" i="14"/>
  <c r="AR150" i="14"/>
  <c r="AQ150" i="14"/>
  <c r="AP150" i="14"/>
  <c r="AO150" i="14"/>
  <c r="AN150" i="14"/>
  <c r="AM150" i="14"/>
  <c r="AL150" i="14"/>
  <c r="AK150" i="14"/>
  <c r="AY149" i="14"/>
  <c r="AX149" i="14"/>
  <c r="AW149" i="14"/>
  <c r="AV149" i="14"/>
  <c r="AU149" i="14"/>
  <c r="AT149" i="14"/>
  <c r="AS149" i="14"/>
  <c r="AR149" i="14"/>
  <c r="AQ149" i="14"/>
  <c r="AP149" i="14"/>
  <c r="AO149" i="14"/>
  <c r="AN149" i="14"/>
  <c r="AM149" i="14"/>
  <c r="AL149" i="14"/>
  <c r="AK149" i="14"/>
  <c r="AY148" i="14"/>
  <c r="AX148" i="14"/>
  <c r="AW148" i="14"/>
  <c r="AV148" i="14"/>
  <c r="AU148" i="14"/>
  <c r="AT148" i="14"/>
  <c r="AS148" i="14"/>
  <c r="AR148" i="14"/>
  <c r="AQ148" i="14"/>
  <c r="AP148" i="14"/>
  <c r="AO148" i="14"/>
  <c r="AN148" i="14"/>
  <c r="AM148" i="14"/>
  <c r="AL148" i="14"/>
  <c r="AK148" i="14"/>
  <c r="AY147" i="14"/>
  <c r="AX147" i="14"/>
  <c r="AW147" i="14"/>
  <c r="AV147" i="14"/>
  <c r="AU147" i="14"/>
  <c r="AT147" i="14"/>
  <c r="AS147" i="14"/>
  <c r="AR147" i="14"/>
  <c r="AQ147" i="14"/>
  <c r="AP147" i="14"/>
  <c r="AO147" i="14"/>
  <c r="AN147" i="14"/>
  <c r="AM147" i="14"/>
  <c r="AL147" i="14"/>
  <c r="AK147" i="14"/>
  <c r="AY146" i="14"/>
  <c r="AX146" i="14"/>
  <c r="AW146" i="14"/>
  <c r="AV146" i="14"/>
  <c r="AU146" i="14"/>
  <c r="AT146" i="14"/>
  <c r="AS146" i="14"/>
  <c r="AR146" i="14"/>
  <c r="AQ146" i="14"/>
  <c r="AP146" i="14"/>
  <c r="AO146" i="14"/>
  <c r="AN146" i="14"/>
  <c r="AM146" i="14"/>
  <c r="AL146" i="14"/>
  <c r="AK146" i="14"/>
  <c r="AY145" i="14"/>
  <c r="AX145" i="14"/>
  <c r="AW145" i="14"/>
  <c r="AV145" i="14"/>
  <c r="AU145" i="14"/>
  <c r="AT145" i="14"/>
  <c r="AS145" i="14"/>
  <c r="AR145" i="14"/>
  <c r="AQ145" i="14"/>
  <c r="AP145" i="14"/>
  <c r="AO145" i="14"/>
  <c r="AN145" i="14"/>
  <c r="AM145" i="14"/>
  <c r="AL145" i="14"/>
  <c r="AK145" i="14"/>
  <c r="AY144" i="14"/>
  <c r="AX144" i="14"/>
  <c r="AW144" i="14"/>
  <c r="AV144" i="14"/>
  <c r="AU144" i="14"/>
  <c r="AT144" i="14"/>
  <c r="AS144" i="14"/>
  <c r="AR144" i="14"/>
  <c r="AQ144" i="14"/>
  <c r="AP144" i="14"/>
  <c r="AO144" i="14"/>
  <c r="AN144" i="14"/>
  <c r="AM144" i="14"/>
  <c r="AL144" i="14"/>
  <c r="AK144" i="14"/>
  <c r="AY143" i="14"/>
  <c r="AX143" i="14"/>
  <c r="AW143" i="14"/>
  <c r="AV143" i="14"/>
  <c r="AU143" i="14"/>
  <c r="AT143" i="14"/>
  <c r="AS143" i="14"/>
  <c r="AR143" i="14"/>
  <c r="AQ143" i="14"/>
  <c r="AP143" i="14"/>
  <c r="AO143" i="14"/>
  <c r="AN143" i="14"/>
  <c r="AM143" i="14"/>
  <c r="AL143" i="14"/>
  <c r="AK143" i="14"/>
  <c r="AY142" i="14"/>
  <c r="AX142" i="14"/>
  <c r="AW142" i="14"/>
  <c r="AV142" i="14"/>
  <c r="AU142" i="14"/>
  <c r="AT142" i="14"/>
  <c r="AS142" i="14"/>
  <c r="AR142" i="14"/>
  <c r="AQ142" i="14"/>
  <c r="AP142" i="14"/>
  <c r="AO142" i="14"/>
  <c r="AN142" i="14"/>
  <c r="AM142" i="14"/>
  <c r="AL142" i="14"/>
  <c r="AK142" i="14"/>
  <c r="AY141" i="14"/>
  <c r="AX141" i="14"/>
  <c r="AW141" i="14"/>
  <c r="AV141" i="14"/>
  <c r="AU141" i="14"/>
  <c r="AT141" i="14"/>
  <c r="AS141" i="14"/>
  <c r="AR141" i="14"/>
  <c r="AQ141" i="14"/>
  <c r="AP141" i="14"/>
  <c r="AO141" i="14"/>
  <c r="AN141" i="14"/>
  <c r="AM141" i="14"/>
  <c r="AL141" i="14"/>
  <c r="AK141" i="14"/>
  <c r="AY140" i="14"/>
  <c r="AX140" i="14"/>
  <c r="AW140" i="14"/>
  <c r="AV140" i="14"/>
  <c r="AU140" i="14"/>
  <c r="AT140" i="14"/>
  <c r="AS140" i="14"/>
  <c r="AR140" i="14"/>
  <c r="AQ140" i="14"/>
  <c r="AP140" i="14"/>
  <c r="AO140" i="14"/>
  <c r="AN140" i="14"/>
  <c r="AM140" i="14"/>
  <c r="AL140" i="14"/>
  <c r="AK140" i="14"/>
  <c r="AY139" i="14"/>
  <c r="AX139" i="14"/>
  <c r="AW139" i="14"/>
  <c r="AV139" i="14"/>
  <c r="AU139" i="14"/>
  <c r="AT139" i="14"/>
  <c r="AS139" i="14"/>
  <c r="AR139" i="14"/>
  <c r="AQ139" i="14"/>
  <c r="AP139" i="14"/>
  <c r="AO139" i="14"/>
  <c r="AN139" i="14"/>
  <c r="AM139" i="14"/>
  <c r="AL139" i="14"/>
  <c r="AK139" i="14"/>
  <c r="AY138" i="14"/>
  <c r="AX138" i="14"/>
  <c r="AW138" i="14"/>
  <c r="AV138" i="14"/>
  <c r="AU138" i="14"/>
  <c r="AT138" i="14"/>
  <c r="AS138" i="14"/>
  <c r="AR138" i="14"/>
  <c r="AQ138" i="14"/>
  <c r="AP138" i="14"/>
  <c r="AO138" i="14"/>
  <c r="AN138" i="14"/>
  <c r="AM138" i="14"/>
  <c r="AL138" i="14"/>
  <c r="AK138" i="14"/>
  <c r="AY137" i="14"/>
  <c r="AX137" i="14"/>
  <c r="AW137" i="14"/>
  <c r="AV137" i="14"/>
  <c r="AU137" i="14"/>
  <c r="AT137" i="14"/>
  <c r="AS137" i="14"/>
  <c r="AR137" i="14"/>
  <c r="AQ137" i="14"/>
  <c r="AP137" i="14"/>
  <c r="AO137" i="14"/>
  <c r="AN137" i="14"/>
  <c r="AM137" i="14"/>
  <c r="AL137" i="14"/>
  <c r="AK137" i="14"/>
  <c r="AY136" i="14"/>
  <c r="AX136" i="14"/>
  <c r="AW136" i="14"/>
  <c r="AV136" i="14"/>
  <c r="AU136" i="14"/>
  <c r="AT136" i="14"/>
  <c r="AS136" i="14"/>
  <c r="AR136" i="14"/>
  <c r="AQ136" i="14"/>
  <c r="AP136" i="14"/>
  <c r="AO136" i="14"/>
  <c r="AN136" i="14"/>
  <c r="AM136" i="14"/>
  <c r="AL136" i="14"/>
  <c r="AK136" i="14"/>
  <c r="AY135" i="14"/>
  <c r="AX135" i="14"/>
  <c r="AW135" i="14"/>
  <c r="AV135" i="14"/>
  <c r="AU135" i="14"/>
  <c r="AT135" i="14"/>
  <c r="AS135" i="14"/>
  <c r="AR135" i="14"/>
  <c r="AQ135" i="14"/>
  <c r="AP135" i="14"/>
  <c r="AO135" i="14"/>
  <c r="AN135" i="14"/>
  <c r="AM135" i="14"/>
  <c r="AL135" i="14"/>
  <c r="AK135" i="14"/>
  <c r="AY134" i="14"/>
  <c r="AX134" i="14"/>
  <c r="AW134" i="14"/>
  <c r="AV134" i="14"/>
  <c r="AU134" i="14"/>
  <c r="AT134" i="14"/>
  <c r="AS134" i="14"/>
  <c r="AR134" i="14"/>
  <c r="AQ134" i="14"/>
  <c r="AP134" i="14"/>
  <c r="AO134" i="14"/>
  <c r="AN134" i="14"/>
  <c r="AM134" i="14"/>
  <c r="AL134" i="14"/>
  <c r="AK134" i="14"/>
  <c r="AM21" i="14"/>
  <c r="AM9" i="14"/>
  <c r="AK8" i="14"/>
  <c r="AL8" i="14"/>
  <c r="AM8" i="14"/>
  <c r="AN8" i="14"/>
  <c r="AO8" i="14"/>
  <c r="AP8" i="14"/>
  <c r="AQ8" i="14"/>
  <c r="AR8" i="14"/>
  <c r="AS8" i="14"/>
  <c r="AT8" i="14"/>
  <c r="AU8" i="14"/>
  <c r="AV8" i="14"/>
  <c r="AW8" i="14"/>
  <c r="AX8" i="14"/>
  <c r="AY8" i="14"/>
  <c r="I7" i="15"/>
  <c r="I6" i="11"/>
  <c r="M4" i="13" a="1"/>
  <c r="M4" i="13"/>
  <c r="M5" i="13" a="1"/>
  <c r="M5" i="13"/>
  <c r="M6" i="13" a="1"/>
  <c r="M6" i="13"/>
  <c r="M7" i="13" a="1"/>
  <c r="M7" i="13"/>
  <c r="M8" i="13" a="1"/>
  <c r="M8" i="13"/>
  <c r="C23" i="8"/>
  <c r="C15" i="8"/>
  <c r="C5" i="8"/>
  <c r="D14" i="7"/>
  <c r="C14" i="7"/>
  <c r="D6" i="7"/>
  <c r="C6" i="7"/>
  <c r="D38" i="6"/>
  <c r="C38" i="6"/>
  <c r="D30" i="6"/>
  <c r="C30" i="6"/>
  <c r="D18" i="6"/>
  <c r="C18" i="6"/>
  <c r="D16" i="6"/>
  <c r="C16" i="6"/>
  <c r="D14" i="6"/>
  <c r="C14" i="6"/>
  <c r="D5" i="6"/>
  <c r="C5" i="6"/>
  <c r="B69" i="3"/>
  <c r="C102" i="3" a="1"/>
  <c r="C102" i="3"/>
  <c r="B68" i="3"/>
  <c r="C101" i="3" a="1"/>
  <c r="C101" i="3"/>
  <c r="B67" i="3"/>
  <c r="J78" i="3" a="1"/>
  <c r="J78" i="3"/>
  <c r="B66" i="3"/>
  <c r="C77" i="3" a="1"/>
  <c r="C77" i="3"/>
  <c r="B65" i="3"/>
  <c r="B64" i="3"/>
  <c r="B63" i="3"/>
  <c r="B62" i="3"/>
  <c r="C95" i="3" a="1"/>
  <c r="C95" i="3"/>
  <c r="B61" i="3"/>
  <c r="G79" i="3" a="1"/>
  <c r="G79" i="3"/>
  <c r="D79" i="3" a="1"/>
  <c r="D79" i="3"/>
  <c r="H78" i="3" a="1"/>
  <c r="H78" i="3"/>
  <c r="C78" i="3" a="1"/>
  <c r="C78" i="3"/>
  <c r="D77" i="3" a="1"/>
  <c r="D77" i="3"/>
  <c r="H77" i="3" a="1"/>
  <c r="H77" i="3"/>
  <c r="F80" i="3" a="1"/>
  <c r="F80" i="3"/>
  <c r="B80" i="3"/>
  <c r="B91" i="3"/>
  <c r="B102" i="3"/>
  <c r="G80" i="3" a="1"/>
  <c r="G80" i="3"/>
  <c r="C80" i="3" a="1"/>
  <c r="C80" i="3"/>
  <c r="I80" i="3" a="1"/>
  <c r="I80" i="3"/>
  <c r="E80" i="3" a="1"/>
  <c r="E80" i="3"/>
  <c r="J80" i="3" a="1"/>
  <c r="J80" i="3"/>
  <c r="F77" i="3" a="1"/>
  <c r="F77" i="3"/>
  <c r="J79" i="3" a="1"/>
  <c r="J79" i="3"/>
  <c r="C99" i="3" a="1"/>
  <c r="C99" i="3"/>
  <c r="J77" i="3" a="1"/>
  <c r="J77" i="3"/>
  <c r="E79" i="3" a="1"/>
  <c r="E79" i="3"/>
  <c r="D78" i="3" a="1"/>
  <c r="D78" i="3"/>
  <c r="I78" i="3" a="1"/>
  <c r="I78" i="3"/>
  <c r="E78" i="3" a="1"/>
  <c r="E78" i="3"/>
  <c r="B79" i="3"/>
  <c r="B90" i="3"/>
  <c r="H79" i="3" a="1"/>
  <c r="H79" i="3"/>
  <c r="D68" i="3" a="1"/>
  <c r="D68" i="3"/>
  <c r="G78" i="3" a="1"/>
  <c r="G78" i="3"/>
  <c r="C79" i="3" a="1"/>
  <c r="C79" i="3"/>
  <c r="F79" i="3" a="1"/>
  <c r="F79" i="3"/>
  <c r="I79" i="3" a="1"/>
  <c r="I79" i="3"/>
  <c r="C100" i="3" a="1"/>
  <c r="C100" i="3"/>
  <c r="D66" i="3" a="1"/>
  <c r="D66" i="3"/>
  <c r="B77" i="3"/>
  <c r="B88" i="3"/>
  <c r="B99" i="3"/>
  <c r="E77" i="3" a="1"/>
  <c r="E77" i="3"/>
  <c r="G77" i="3" a="1"/>
  <c r="G77" i="3"/>
  <c r="I77" i="3" a="1"/>
  <c r="I77" i="3"/>
  <c r="B78" i="3"/>
  <c r="B89" i="3"/>
  <c r="B100" i="3"/>
  <c r="F78" i="3" a="1"/>
  <c r="F78" i="3"/>
  <c r="D80" i="3" a="1"/>
  <c r="D80" i="3"/>
  <c r="H80" i="3" a="1"/>
  <c r="H80" i="3"/>
  <c r="C66" i="3" a="1"/>
  <c r="C66" i="3"/>
  <c r="D67" i="3" a="1"/>
  <c r="D67" i="3"/>
  <c r="C68" i="3" a="1"/>
  <c r="C68" i="3"/>
  <c r="D69" i="3" a="1"/>
  <c r="D69" i="3"/>
  <c r="C67" i="3" a="1"/>
  <c r="C67" i="3"/>
  <c r="C69" i="3" a="1"/>
  <c r="C69" i="3"/>
  <c r="H23" i="13"/>
  <c r="F23" i="13"/>
  <c r="B101" i="3"/>
  <c r="H135" i="1"/>
  <c r="G135" i="1"/>
  <c r="F135" i="1"/>
  <c r="E135" i="1"/>
  <c r="D135" i="1"/>
  <c r="C135" i="1"/>
  <c r="C117" i="2"/>
  <c r="C116" i="2"/>
  <c r="C115" i="2"/>
  <c r="B115" i="2"/>
  <c r="B116" i="2"/>
  <c r="B117" i="2"/>
  <c r="B108" i="1" a="1"/>
  <c r="B108" i="1"/>
  <c r="B87" i="1" a="1"/>
  <c r="B87" i="1"/>
  <c r="B66" i="1" a="1"/>
  <c r="B66" i="1"/>
  <c r="B24" i="1" a="1"/>
  <c r="B24" i="1"/>
  <c r="B45" i="1"/>
  <c r="B127" i="1"/>
  <c r="B123" i="1"/>
  <c r="B119" i="1"/>
  <c r="B115" i="1"/>
  <c r="B111" i="1"/>
  <c r="B126" i="1"/>
  <c r="B122" i="1"/>
  <c r="B118" i="1"/>
  <c r="B114" i="1"/>
  <c r="B110" i="1"/>
  <c r="B125" i="1"/>
  <c r="B121" i="1"/>
  <c r="B117" i="1"/>
  <c r="B113" i="1"/>
  <c r="B109" i="1"/>
  <c r="B124" i="1"/>
  <c r="B120" i="1"/>
  <c r="B116" i="1"/>
  <c r="B112" i="1"/>
  <c r="B106" i="1"/>
  <c r="B102" i="1"/>
  <c r="B98" i="1"/>
  <c r="B94" i="1"/>
  <c r="B90" i="1"/>
  <c r="B105" i="1"/>
  <c r="B101" i="1"/>
  <c r="B97" i="1"/>
  <c r="B93" i="1"/>
  <c r="B89" i="1"/>
  <c r="B104" i="1"/>
  <c r="B100" i="1"/>
  <c r="B96" i="1"/>
  <c r="B92" i="1"/>
  <c r="B88" i="1"/>
  <c r="B103" i="1"/>
  <c r="B99" i="1"/>
  <c r="B95" i="1"/>
  <c r="B91" i="1"/>
  <c r="B85" i="1"/>
  <c r="B81" i="1"/>
  <c r="B77" i="1"/>
  <c r="B73" i="1"/>
  <c r="B69" i="1"/>
  <c r="B84" i="1"/>
  <c r="B80" i="1"/>
  <c r="B76" i="1"/>
  <c r="B72" i="1"/>
  <c r="B68" i="1"/>
  <c r="B83" i="1"/>
  <c r="B79" i="1"/>
  <c r="B75" i="1"/>
  <c r="B71" i="1"/>
  <c r="B67" i="1"/>
  <c r="B82" i="1"/>
  <c r="B78" i="1"/>
  <c r="B74" i="1"/>
  <c r="B70" i="1"/>
  <c r="B43" i="1"/>
  <c r="B64" i="1"/>
  <c r="B39" i="1"/>
  <c r="B60" i="1"/>
  <c r="B35" i="1"/>
  <c r="B56" i="1"/>
  <c r="B31" i="1"/>
  <c r="B52" i="1"/>
  <c r="B27" i="1"/>
  <c r="B48" i="1"/>
  <c r="B42" i="1"/>
  <c r="B63" i="1"/>
  <c r="B38" i="1"/>
  <c r="B59" i="1"/>
  <c r="B34" i="1"/>
  <c r="B55" i="1"/>
  <c r="B30" i="1"/>
  <c r="B51" i="1"/>
  <c r="B26" i="1"/>
  <c r="B47" i="1"/>
  <c r="B41" i="1"/>
  <c r="B62" i="1"/>
  <c r="B37" i="1"/>
  <c r="B58" i="1"/>
  <c r="B33" i="1"/>
  <c r="B54" i="1"/>
  <c r="B29" i="1"/>
  <c r="B50" i="1"/>
  <c r="B25" i="1"/>
  <c r="B46" i="1"/>
  <c r="B40" i="1"/>
  <c r="B61" i="1"/>
  <c r="B36" i="1"/>
  <c r="B57" i="1"/>
  <c r="B32" i="1"/>
  <c r="B53" i="1"/>
  <c r="B28" i="1"/>
  <c r="B49" i="1"/>
  <c r="B86" i="1"/>
  <c r="B107" i="1"/>
  <c r="E22" i="16"/>
  <c r="E23" i="16"/>
  <c r="C25" i="6"/>
  <c r="D26" i="6"/>
  <c r="C26" i="6"/>
  <c r="D25" i="6"/>
  <c r="C26" i="8"/>
  <c r="D17" i="7"/>
  <c r="C41" i="6"/>
  <c r="C17" i="7"/>
  <c r="B41" i="6"/>
  <c r="B17" i="7"/>
  <c r="D41" i="6"/>
  <c r="D58" i="3"/>
  <c r="D57" i="3"/>
  <c r="D56" i="3"/>
  <c r="D55" i="3"/>
  <c r="D54" i="3"/>
  <c r="B20" i="2"/>
  <c r="B18" i="2"/>
  <c r="B27" i="16"/>
  <c r="AU3" i="14"/>
  <c r="AV3" i="14"/>
  <c r="AW3" i="14"/>
  <c r="AX3" i="14"/>
  <c r="AY3" i="14"/>
  <c r="AU4" i="14"/>
  <c r="AV4" i="14"/>
  <c r="AW4" i="14"/>
  <c r="AX4" i="14"/>
  <c r="AY4" i="14"/>
  <c r="AU5" i="14"/>
  <c r="AV5" i="14"/>
  <c r="AW5" i="14"/>
  <c r="AX5" i="14"/>
  <c r="AY5" i="14"/>
  <c r="AU6" i="14"/>
  <c r="AV6" i="14"/>
  <c r="AW6" i="14"/>
  <c r="AX6" i="14"/>
  <c r="AY6" i="14"/>
  <c r="AU7" i="14"/>
  <c r="AV7" i="14"/>
  <c r="AW7" i="14"/>
  <c r="AX7" i="14"/>
  <c r="AY7" i="14"/>
  <c r="AU9" i="14"/>
  <c r="AV9" i="14"/>
  <c r="AW9" i="14"/>
  <c r="AX9" i="14"/>
  <c r="AY9" i="14"/>
  <c r="AU10" i="14"/>
  <c r="AV10" i="14"/>
  <c r="AW10" i="14"/>
  <c r="AX10" i="14"/>
  <c r="AY10" i="14"/>
  <c r="AU11" i="14"/>
  <c r="AV11" i="14"/>
  <c r="AW11" i="14"/>
  <c r="AX11" i="14"/>
  <c r="AY11" i="14"/>
  <c r="AU12" i="14"/>
  <c r="AV12" i="14"/>
  <c r="AW12" i="14"/>
  <c r="AX12" i="14"/>
  <c r="AY12" i="14"/>
  <c r="AU13" i="14"/>
  <c r="AV13" i="14"/>
  <c r="AW13" i="14"/>
  <c r="AX13" i="14"/>
  <c r="AY13" i="14"/>
  <c r="AU14" i="14"/>
  <c r="AV14" i="14"/>
  <c r="AW14" i="14"/>
  <c r="AX14" i="14"/>
  <c r="AY14" i="14"/>
  <c r="AU15" i="14"/>
  <c r="AV15" i="14"/>
  <c r="AW15" i="14"/>
  <c r="AX15" i="14"/>
  <c r="AY15" i="14"/>
  <c r="AU16" i="14"/>
  <c r="AV16" i="14"/>
  <c r="AW16" i="14"/>
  <c r="AX16" i="14"/>
  <c r="AY16" i="14"/>
  <c r="AU17" i="14"/>
  <c r="AV17" i="14"/>
  <c r="AW17" i="14"/>
  <c r="AX17" i="14"/>
  <c r="AY17" i="14"/>
  <c r="AU18" i="14"/>
  <c r="AV18" i="14"/>
  <c r="AW18" i="14"/>
  <c r="AX18" i="14"/>
  <c r="AY18" i="14"/>
  <c r="AU19" i="14"/>
  <c r="AV19" i="14"/>
  <c r="AW19" i="14"/>
  <c r="AX19" i="14"/>
  <c r="AY19" i="14"/>
  <c r="AU20" i="14"/>
  <c r="AV20" i="14"/>
  <c r="AW20" i="14"/>
  <c r="AX20" i="14"/>
  <c r="AY20" i="14"/>
  <c r="AU21" i="14"/>
  <c r="AV21" i="14"/>
  <c r="AW21" i="14"/>
  <c r="AX21" i="14"/>
  <c r="AY21" i="14"/>
  <c r="AU22" i="14"/>
  <c r="AV22" i="14"/>
  <c r="AW22" i="14"/>
  <c r="AX22" i="14"/>
  <c r="AY22" i="14"/>
  <c r="AU23" i="14"/>
  <c r="AV23" i="14"/>
  <c r="AW23" i="14"/>
  <c r="AX23" i="14"/>
  <c r="AY23" i="14"/>
  <c r="AU24" i="14"/>
  <c r="AV24" i="14"/>
  <c r="AW24" i="14"/>
  <c r="AX24" i="14"/>
  <c r="AY24" i="14"/>
  <c r="AU25" i="14"/>
  <c r="AV25" i="14"/>
  <c r="AW25" i="14"/>
  <c r="AX25" i="14"/>
  <c r="AY25" i="14"/>
  <c r="AU26" i="14"/>
  <c r="AV26" i="14"/>
  <c r="AW26" i="14"/>
  <c r="AX26" i="14"/>
  <c r="AY26" i="14"/>
  <c r="AU27" i="14"/>
  <c r="AV27" i="14"/>
  <c r="AW27" i="14"/>
  <c r="AX27" i="14"/>
  <c r="AY27" i="14"/>
  <c r="AU28" i="14"/>
  <c r="AV28" i="14"/>
  <c r="AW28" i="14"/>
  <c r="AX28" i="14"/>
  <c r="AY28" i="14"/>
  <c r="AU29" i="14"/>
  <c r="AV29" i="14"/>
  <c r="AW29" i="14"/>
  <c r="AX29" i="14"/>
  <c r="AY29" i="14"/>
  <c r="AU30" i="14"/>
  <c r="AV30" i="14"/>
  <c r="AW30" i="14"/>
  <c r="AX30" i="14"/>
  <c r="AY30" i="14"/>
  <c r="AU31" i="14"/>
  <c r="AV31" i="14"/>
  <c r="AW31" i="14"/>
  <c r="AX31" i="14"/>
  <c r="AY31" i="14"/>
  <c r="AU32" i="14"/>
  <c r="AV32" i="14"/>
  <c r="AW32" i="14"/>
  <c r="AX32" i="14"/>
  <c r="AY32" i="14"/>
  <c r="AU33" i="14"/>
  <c r="AV33" i="14"/>
  <c r="AW33" i="14"/>
  <c r="AX33" i="14"/>
  <c r="AY33" i="14"/>
  <c r="AU34" i="14"/>
  <c r="AV34" i="14"/>
  <c r="AW34" i="14"/>
  <c r="AX34" i="14"/>
  <c r="AY34" i="14"/>
  <c r="AU35" i="14"/>
  <c r="AV35" i="14"/>
  <c r="AW35" i="14"/>
  <c r="AX35" i="14"/>
  <c r="AY35" i="14"/>
  <c r="AU36" i="14"/>
  <c r="AV36" i="14"/>
  <c r="AW36" i="14"/>
  <c r="AX36" i="14"/>
  <c r="AY36" i="14"/>
  <c r="AU37" i="14"/>
  <c r="AV37" i="14"/>
  <c r="AW37" i="14"/>
  <c r="AX37" i="14"/>
  <c r="AY37" i="14"/>
  <c r="AU38" i="14"/>
  <c r="AV38" i="14"/>
  <c r="AW38" i="14"/>
  <c r="AX38" i="14"/>
  <c r="AY38" i="14"/>
  <c r="AU39" i="14"/>
  <c r="AV39" i="14"/>
  <c r="AW39" i="14"/>
  <c r="AX39" i="14"/>
  <c r="AY39" i="14"/>
  <c r="AU40" i="14"/>
  <c r="AV40" i="14"/>
  <c r="AW40" i="14"/>
  <c r="AX40" i="14"/>
  <c r="AY40" i="14"/>
  <c r="AU41" i="14"/>
  <c r="AV41" i="14"/>
  <c r="AW41" i="14"/>
  <c r="AX41" i="14"/>
  <c r="AY41" i="14"/>
  <c r="AU42" i="14"/>
  <c r="AV42" i="14"/>
  <c r="AW42" i="14"/>
  <c r="AX42" i="14"/>
  <c r="AY42" i="14"/>
  <c r="AU43" i="14"/>
  <c r="AV43" i="14"/>
  <c r="AW43" i="14"/>
  <c r="AX43" i="14"/>
  <c r="AY43" i="14"/>
  <c r="AU44" i="14"/>
  <c r="AV44" i="14"/>
  <c r="AW44" i="14"/>
  <c r="AX44" i="14"/>
  <c r="AY44" i="14"/>
  <c r="AU45" i="14"/>
  <c r="AV45" i="14"/>
  <c r="AW45" i="14"/>
  <c r="AX45" i="14"/>
  <c r="AY45" i="14"/>
  <c r="AU46" i="14"/>
  <c r="AV46" i="14"/>
  <c r="AW46" i="14"/>
  <c r="AX46" i="14"/>
  <c r="AY46" i="14"/>
  <c r="AU47" i="14"/>
  <c r="AV47" i="14"/>
  <c r="AW47" i="14"/>
  <c r="AX47" i="14"/>
  <c r="AY47" i="14"/>
  <c r="AU48" i="14"/>
  <c r="AV48" i="14"/>
  <c r="AW48" i="14"/>
  <c r="AX48" i="14"/>
  <c r="AY48" i="14"/>
  <c r="AU49" i="14"/>
  <c r="AV49" i="14"/>
  <c r="AW49" i="14"/>
  <c r="AX49" i="14"/>
  <c r="AY49" i="14"/>
  <c r="AU50" i="14"/>
  <c r="AV50" i="14"/>
  <c r="AW50" i="14"/>
  <c r="AX50" i="14"/>
  <c r="AY50" i="14"/>
  <c r="AU51" i="14"/>
  <c r="AV51" i="14"/>
  <c r="AW51" i="14"/>
  <c r="AX51" i="14"/>
  <c r="AY51" i="14"/>
  <c r="AU52" i="14"/>
  <c r="AV52" i="14"/>
  <c r="AW52" i="14"/>
  <c r="AX52" i="14"/>
  <c r="AY52" i="14"/>
  <c r="AU53" i="14"/>
  <c r="AV53" i="14"/>
  <c r="AW53" i="14"/>
  <c r="AX53" i="14"/>
  <c r="AY53" i="14"/>
  <c r="AU54" i="14"/>
  <c r="AV54" i="14"/>
  <c r="AW54" i="14"/>
  <c r="AX54" i="14"/>
  <c r="AY54" i="14"/>
  <c r="AU55" i="14"/>
  <c r="AV55" i="14"/>
  <c r="AW55" i="14"/>
  <c r="AX55" i="14"/>
  <c r="AY55" i="14"/>
  <c r="AU56" i="14"/>
  <c r="AV56" i="14"/>
  <c r="AW56" i="14"/>
  <c r="AX56" i="14"/>
  <c r="AY56" i="14"/>
  <c r="AU57" i="14"/>
  <c r="AV57" i="14"/>
  <c r="AW57" i="14"/>
  <c r="AX57" i="14"/>
  <c r="AY57" i="14"/>
  <c r="AU58" i="14"/>
  <c r="AV58" i="14"/>
  <c r="AW58" i="14"/>
  <c r="AX58" i="14"/>
  <c r="AY58" i="14"/>
  <c r="AU59" i="14"/>
  <c r="AV59" i="14"/>
  <c r="AW59" i="14"/>
  <c r="AX59" i="14"/>
  <c r="AY59" i="14"/>
  <c r="AU60" i="14"/>
  <c r="AV60" i="14"/>
  <c r="AW60" i="14"/>
  <c r="AX60" i="14"/>
  <c r="AY60" i="14"/>
  <c r="AU61" i="14"/>
  <c r="AV61" i="14"/>
  <c r="AW61" i="14"/>
  <c r="AX61" i="14"/>
  <c r="AY61" i="14"/>
  <c r="AU62" i="14"/>
  <c r="AV62" i="14"/>
  <c r="AW62" i="14"/>
  <c r="AX62" i="14"/>
  <c r="AY62" i="14"/>
  <c r="AU63" i="14"/>
  <c r="AV63" i="14"/>
  <c r="AW63" i="14"/>
  <c r="AX63" i="14"/>
  <c r="AY63" i="14"/>
  <c r="AU64" i="14"/>
  <c r="AV64" i="14"/>
  <c r="AW64" i="14"/>
  <c r="AX64" i="14"/>
  <c r="AY64" i="14"/>
  <c r="AU65" i="14"/>
  <c r="AV65" i="14"/>
  <c r="AW65" i="14"/>
  <c r="AX65" i="14"/>
  <c r="AY65" i="14"/>
  <c r="AU66" i="14"/>
  <c r="AV66" i="14"/>
  <c r="AW66" i="14"/>
  <c r="AX66" i="14"/>
  <c r="AY66" i="14"/>
  <c r="AU67" i="14"/>
  <c r="AV67" i="14"/>
  <c r="AW67" i="14"/>
  <c r="AX67" i="14"/>
  <c r="AY67" i="14"/>
  <c r="AU68" i="14"/>
  <c r="AV68" i="14"/>
  <c r="AW68" i="14"/>
  <c r="AX68" i="14"/>
  <c r="AY68" i="14"/>
  <c r="AU69" i="14"/>
  <c r="AV69" i="14"/>
  <c r="AW69" i="14"/>
  <c r="AX69" i="14"/>
  <c r="AY69" i="14"/>
  <c r="AU70" i="14"/>
  <c r="AV70" i="14"/>
  <c r="AW70" i="14"/>
  <c r="AX70" i="14"/>
  <c r="AY70" i="14"/>
  <c r="AU71" i="14"/>
  <c r="AV71" i="14"/>
  <c r="AW71" i="14"/>
  <c r="AX71" i="14"/>
  <c r="AY71" i="14"/>
  <c r="AU72" i="14"/>
  <c r="AV72" i="14"/>
  <c r="AW72" i="14"/>
  <c r="AX72" i="14"/>
  <c r="AY72" i="14"/>
  <c r="AU73" i="14"/>
  <c r="AV73" i="14"/>
  <c r="AW73" i="14"/>
  <c r="AX73" i="14"/>
  <c r="AY73" i="14"/>
  <c r="AU74" i="14"/>
  <c r="AV74" i="14"/>
  <c r="AW74" i="14"/>
  <c r="AX74" i="14"/>
  <c r="AY74" i="14"/>
  <c r="AU75" i="14"/>
  <c r="AV75" i="14"/>
  <c r="AW75" i="14"/>
  <c r="AX75" i="14"/>
  <c r="AY75" i="14"/>
  <c r="AU76" i="14"/>
  <c r="AV76" i="14"/>
  <c r="AW76" i="14"/>
  <c r="AX76" i="14"/>
  <c r="AY76" i="14"/>
  <c r="AU77" i="14"/>
  <c r="AV77" i="14"/>
  <c r="AW77" i="14"/>
  <c r="AX77" i="14"/>
  <c r="AY77" i="14"/>
  <c r="AU78" i="14"/>
  <c r="AV78" i="14"/>
  <c r="AW78" i="14"/>
  <c r="AX78" i="14"/>
  <c r="AY78" i="14"/>
  <c r="AU79" i="14"/>
  <c r="AV79" i="14"/>
  <c r="AW79" i="14"/>
  <c r="AX79" i="14"/>
  <c r="AY79" i="14"/>
  <c r="AU80" i="14"/>
  <c r="AV80" i="14"/>
  <c r="AW80" i="14"/>
  <c r="AX80" i="14"/>
  <c r="AY80" i="14"/>
  <c r="AU81" i="14"/>
  <c r="AV81" i="14"/>
  <c r="AW81" i="14"/>
  <c r="AX81" i="14"/>
  <c r="AY81" i="14"/>
  <c r="AU82" i="14"/>
  <c r="AV82" i="14"/>
  <c r="AW82" i="14"/>
  <c r="AX82" i="14"/>
  <c r="AY82" i="14"/>
  <c r="AU83" i="14"/>
  <c r="AV83" i="14"/>
  <c r="AW83" i="14"/>
  <c r="AX83" i="14"/>
  <c r="AY83" i="14"/>
  <c r="AU84" i="14"/>
  <c r="AV84" i="14"/>
  <c r="AW84" i="14"/>
  <c r="AX84" i="14"/>
  <c r="AY84" i="14"/>
  <c r="AU85" i="14"/>
  <c r="AV85" i="14"/>
  <c r="AW85" i="14"/>
  <c r="AX85" i="14"/>
  <c r="AY85" i="14"/>
  <c r="AU86" i="14"/>
  <c r="AV86" i="14"/>
  <c r="AW86" i="14"/>
  <c r="AX86" i="14"/>
  <c r="AY86" i="14"/>
  <c r="AU87" i="14"/>
  <c r="AV87" i="14"/>
  <c r="AW87" i="14"/>
  <c r="AX87" i="14"/>
  <c r="AY87" i="14"/>
  <c r="AU88" i="14"/>
  <c r="AV88" i="14"/>
  <c r="AW88" i="14"/>
  <c r="AX88" i="14"/>
  <c r="AY88" i="14"/>
  <c r="AU89" i="14"/>
  <c r="AV89" i="14"/>
  <c r="AW89" i="14"/>
  <c r="AX89" i="14"/>
  <c r="AY89" i="14"/>
  <c r="AU90" i="14"/>
  <c r="AV90" i="14"/>
  <c r="AW90" i="14"/>
  <c r="AX90" i="14"/>
  <c r="AY90" i="14"/>
  <c r="AU91" i="14"/>
  <c r="AV91" i="14"/>
  <c r="AW91" i="14"/>
  <c r="AX91" i="14"/>
  <c r="AY91" i="14"/>
  <c r="AU92" i="14"/>
  <c r="AV92" i="14"/>
  <c r="AW92" i="14"/>
  <c r="AX92" i="14"/>
  <c r="AY92" i="14"/>
  <c r="AU93" i="14"/>
  <c r="AV93" i="14"/>
  <c r="AW93" i="14"/>
  <c r="AX93" i="14"/>
  <c r="AY93" i="14"/>
  <c r="AU94" i="14"/>
  <c r="AV94" i="14"/>
  <c r="AW94" i="14"/>
  <c r="AX94" i="14"/>
  <c r="AY94" i="14"/>
  <c r="AU95" i="14"/>
  <c r="AV95" i="14"/>
  <c r="AW95" i="14"/>
  <c r="AX95" i="14"/>
  <c r="AY95" i="14"/>
  <c r="AU96" i="14"/>
  <c r="AV96" i="14"/>
  <c r="AW96" i="14"/>
  <c r="AX96" i="14"/>
  <c r="AY96" i="14"/>
  <c r="AU97" i="14"/>
  <c r="AV97" i="14"/>
  <c r="AW97" i="14"/>
  <c r="AX97" i="14"/>
  <c r="AY97" i="14"/>
  <c r="AU98" i="14"/>
  <c r="AV98" i="14"/>
  <c r="AW98" i="14"/>
  <c r="AX98" i="14"/>
  <c r="AY98" i="14"/>
  <c r="AU99" i="14"/>
  <c r="AV99" i="14"/>
  <c r="AW99" i="14"/>
  <c r="AX99" i="14"/>
  <c r="AY99" i="14"/>
  <c r="AU100" i="14"/>
  <c r="AV100" i="14"/>
  <c r="AW100" i="14"/>
  <c r="AX100" i="14"/>
  <c r="AY100" i="14"/>
  <c r="AU101" i="14"/>
  <c r="AV101" i="14"/>
  <c r="AW101" i="14"/>
  <c r="AX101" i="14"/>
  <c r="AY101" i="14"/>
  <c r="AU102" i="14"/>
  <c r="AV102" i="14"/>
  <c r="AW102" i="14"/>
  <c r="AX102" i="14"/>
  <c r="AY102" i="14"/>
  <c r="AU103" i="14"/>
  <c r="AV103" i="14"/>
  <c r="AW103" i="14"/>
  <c r="AX103" i="14"/>
  <c r="AY103" i="14"/>
  <c r="AU104" i="14"/>
  <c r="AV104" i="14"/>
  <c r="AW104" i="14"/>
  <c r="AX104" i="14"/>
  <c r="AY104" i="14"/>
  <c r="AU105" i="14"/>
  <c r="AV105" i="14"/>
  <c r="AW105" i="14"/>
  <c r="AX105" i="14"/>
  <c r="AY105" i="14"/>
  <c r="AU106" i="14"/>
  <c r="AV106" i="14"/>
  <c r="AW106" i="14"/>
  <c r="AX106" i="14"/>
  <c r="AY106" i="14"/>
  <c r="AU107" i="14"/>
  <c r="AV107" i="14"/>
  <c r="AW107" i="14"/>
  <c r="AX107" i="14"/>
  <c r="AY107" i="14"/>
  <c r="AU108" i="14"/>
  <c r="AV108" i="14"/>
  <c r="AW108" i="14"/>
  <c r="AX108" i="14"/>
  <c r="AY108" i="14"/>
  <c r="AU109" i="14"/>
  <c r="AV109" i="14"/>
  <c r="AW109" i="14"/>
  <c r="AX109" i="14"/>
  <c r="AY109" i="14"/>
  <c r="AU110" i="14"/>
  <c r="AV110" i="14"/>
  <c r="AW110" i="14"/>
  <c r="AX110" i="14"/>
  <c r="AY110" i="14"/>
  <c r="AU111" i="14"/>
  <c r="AV111" i="14"/>
  <c r="AW111" i="14"/>
  <c r="AX111" i="14"/>
  <c r="AY111" i="14"/>
  <c r="AU112" i="14"/>
  <c r="AV112" i="14"/>
  <c r="AW112" i="14"/>
  <c r="AX112" i="14"/>
  <c r="AY112" i="14"/>
  <c r="AU113" i="14"/>
  <c r="AV113" i="14"/>
  <c r="AW113" i="14"/>
  <c r="AX113" i="14"/>
  <c r="AY113" i="14"/>
  <c r="AU114" i="14"/>
  <c r="AV114" i="14"/>
  <c r="AW114" i="14"/>
  <c r="AX114" i="14"/>
  <c r="AY114" i="14"/>
  <c r="AU115" i="14"/>
  <c r="AV115" i="14"/>
  <c r="AW115" i="14"/>
  <c r="AX115" i="14"/>
  <c r="AY115" i="14"/>
  <c r="AU116" i="14"/>
  <c r="AV116" i="14"/>
  <c r="AW116" i="14"/>
  <c r="AX116" i="14"/>
  <c r="AY116" i="14"/>
  <c r="AU117" i="14"/>
  <c r="AV117" i="14"/>
  <c r="AW117" i="14"/>
  <c r="AX117" i="14"/>
  <c r="AY117" i="14"/>
  <c r="AU118" i="14"/>
  <c r="AV118" i="14"/>
  <c r="AW118" i="14"/>
  <c r="AX118" i="14"/>
  <c r="AY118" i="14"/>
  <c r="AU119" i="14"/>
  <c r="AV119" i="14"/>
  <c r="AW119" i="14"/>
  <c r="AX119" i="14"/>
  <c r="AY119" i="14"/>
  <c r="AU120" i="14"/>
  <c r="AV120" i="14"/>
  <c r="AW120" i="14"/>
  <c r="AX120" i="14"/>
  <c r="AY120" i="14"/>
  <c r="AU121" i="14"/>
  <c r="AV121" i="14"/>
  <c r="AW121" i="14"/>
  <c r="AX121" i="14"/>
  <c r="AY121" i="14"/>
  <c r="AU122" i="14"/>
  <c r="AV122" i="14"/>
  <c r="AW122" i="14"/>
  <c r="AX122" i="14"/>
  <c r="AY122" i="14"/>
  <c r="AU123" i="14"/>
  <c r="AV123" i="14"/>
  <c r="AW123" i="14"/>
  <c r="AX123" i="14"/>
  <c r="AY123" i="14"/>
  <c r="AU124" i="14"/>
  <c r="AV124" i="14"/>
  <c r="AW124" i="14"/>
  <c r="AX124" i="14"/>
  <c r="AY124" i="14"/>
  <c r="AU125" i="14"/>
  <c r="AV125" i="14"/>
  <c r="AW125" i="14"/>
  <c r="AX125" i="14"/>
  <c r="AY125" i="14"/>
  <c r="AU126" i="14"/>
  <c r="AV126" i="14"/>
  <c r="AW126" i="14"/>
  <c r="AX126" i="14"/>
  <c r="AY126" i="14"/>
  <c r="AU127" i="14"/>
  <c r="AV127" i="14"/>
  <c r="AW127" i="14"/>
  <c r="AX127" i="14"/>
  <c r="AY127" i="14"/>
  <c r="AU128" i="14"/>
  <c r="AV128" i="14"/>
  <c r="AW128" i="14"/>
  <c r="AX128" i="14"/>
  <c r="AY128" i="14"/>
  <c r="AU129" i="14"/>
  <c r="AV129" i="14"/>
  <c r="AW129" i="14"/>
  <c r="AX129" i="14"/>
  <c r="AY129" i="14"/>
  <c r="AU130" i="14"/>
  <c r="AV130" i="14"/>
  <c r="AW130" i="14"/>
  <c r="AX130" i="14"/>
  <c r="AY130" i="14"/>
  <c r="AU131" i="14"/>
  <c r="AV131" i="14"/>
  <c r="AW131" i="14"/>
  <c r="AX131" i="14"/>
  <c r="AY131" i="14"/>
  <c r="AU132" i="14"/>
  <c r="AV132" i="14"/>
  <c r="AW132" i="14"/>
  <c r="AX132" i="14"/>
  <c r="AY132" i="14"/>
  <c r="AU133" i="14"/>
  <c r="AV133" i="14"/>
  <c r="AW133" i="14"/>
  <c r="AX133" i="14"/>
  <c r="AY133" i="14"/>
  <c r="AY2" i="14"/>
  <c r="AX2" i="14"/>
  <c r="AW2" i="14"/>
  <c r="AV2" i="14"/>
  <c r="AK3" i="14"/>
  <c r="AL3" i="14"/>
  <c r="AM3" i="14"/>
  <c r="AN3" i="14"/>
  <c r="AO3" i="14"/>
  <c r="AP3" i="14"/>
  <c r="AQ3" i="14"/>
  <c r="AR3" i="14"/>
  <c r="AS3" i="14"/>
  <c r="AT3" i="14"/>
  <c r="AK4" i="14"/>
  <c r="AL4" i="14"/>
  <c r="AM4" i="14"/>
  <c r="AN4" i="14"/>
  <c r="AO4" i="14"/>
  <c r="AP4" i="14"/>
  <c r="AQ4" i="14"/>
  <c r="AR4" i="14"/>
  <c r="AS4" i="14"/>
  <c r="AT4" i="14"/>
  <c r="AK5" i="14"/>
  <c r="AL5" i="14"/>
  <c r="AM5" i="14"/>
  <c r="AN5" i="14"/>
  <c r="AO5" i="14"/>
  <c r="AP5" i="14"/>
  <c r="AQ5" i="14"/>
  <c r="AR5" i="14"/>
  <c r="AS5" i="14"/>
  <c r="AT5" i="14"/>
  <c r="AK6" i="14"/>
  <c r="AL6" i="14"/>
  <c r="AM6" i="14"/>
  <c r="AN6" i="14"/>
  <c r="AO6" i="14"/>
  <c r="AP6" i="14"/>
  <c r="AQ6" i="14"/>
  <c r="AR6" i="14"/>
  <c r="AS6" i="14"/>
  <c r="AT6" i="14"/>
  <c r="AK7" i="14"/>
  <c r="AL7" i="14"/>
  <c r="AM7" i="14"/>
  <c r="AN7" i="14"/>
  <c r="AO7" i="14"/>
  <c r="AP7" i="14"/>
  <c r="AQ7" i="14"/>
  <c r="AR7" i="14"/>
  <c r="AS7" i="14"/>
  <c r="AT7" i="14"/>
  <c r="AK9" i="14"/>
  <c r="AL9" i="14"/>
  <c r="AN9" i="14"/>
  <c r="AO9" i="14"/>
  <c r="AP9" i="14"/>
  <c r="AQ9" i="14"/>
  <c r="AR9" i="14"/>
  <c r="AS9" i="14"/>
  <c r="AT9" i="14"/>
  <c r="AK10" i="14"/>
  <c r="AL10" i="14"/>
  <c r="AM10" i="14"/>
  <c r="AN10" i="14"/>
  <c r="AO10" i="14"/>
  <c r="AP10" i="14"/>
  <c r="AQ10" i="14"/>
  <c r="AR10" i="14"/>
  <c r="AS10" i="14"/>
  <c r="AT10" i="14"/>
  <c r="AK11" i="14"/>
  <c r="AL11" i="14"/>
  <c r="AM11" i="14"/>
  <c r="AN11" i="14"/>
  <c r="AO11" i="14"/>
  <c r="AP11" i="14"/>
  <c r="AQ11" i="14"/>
  <c r="AR11" i="14"/>
  <c r="AS11" i="14"/>
  <c r="AT11" i="14"/>
  <c r="AK12" i="14"/>
  <c r="AL12" i="14"/>
  <c r="AM12" i="14"/>
  <c r="AN12" i="14"/>
  <c r="AO12" i="14"/>
  <c r="AP12" i="14"/>
  <c r="AQ12" i="14"/>
  <c r="AR12" i="14"/>
  <c r="AS12" i="14"/>
  <c r="AT12" i="14"/>
  <c r="AK13" i="14"/>
  <c r="AL13" i="14"/>
  <c r="AM13" i="14"/>
  <c r="AN13" i="14"/>
  <c r="AO13" i="14"/>
  <c r="AP13" i="14"/>
  <c r="AQ13" i="14"/>
  <c r="AR13" i="14"/>
  <c r="AS13" i="14"/>
  <c r="AT13" i="14"/>
  <c r="AK14" i="14"/>
  <c r="AL14" i="14"/>
  <c r="AM14" i="14"/>
  <c r="AN14" i="14"/>
  <c r="AO14" i="14"/>
  <c r="AP14" i="14"/>
  <c r="AQ14" i="14"/>
  <c r="AR14" i="14"/>
  <c r="AS14" i="14"/>
  <c r="AT14" i="14"/>
  <c r="AK15" i="14"/>
  <c r="AL15" i="14"/>
  <c r="AM15" i="14"/>
  <c r="AN15" i="14"/>
  <c r="AO15" i="14"/>
  <c r="AP15" i="14"/>
  <c r="AQ15" i="14"/>
  <c r="AR15" i="14"/>
  <c r="AS15" i="14"/>
  <c r="AT15" i="14"/>
  <c r="AK16" i="14"/>
  <c r="AL16" i="14"/>
  <c r="AM16" i="14"/>
  <c r="AN16" i="14"/>
  <c r="AO16" i="14"/>
  <c r="AP16" i="14"/>
  <c r="AQ16" i="14"/>
  <c r="AR16" i="14"/>
  <c r="AS16" i="14"/>
  <c r="AT16" i="14"/>
  <c r="AK17" i="14"/>
  <c r="AL17" i="14"/>
  <c r="AM17" i="14"/>
  <c r="AN17" i="14"/>
  <c r="AO17" i="14"/>
  <c r="AP17" i="14"/>
  <c r="AQ17" i="14"/>
  <c r="AR17" i="14"/>
  <c r="AS17" i="14"/>
  <c r="AT17" i="14"/>
  <c r="AK18" i="14"/>
  <c r="AL18" i="14"/>
  <c r="AM18" i="14"/>
  <c r="AN18" i="14"/>
  <c r="AO18" i="14"/>
  <c r="AP18" i="14"/>
  <c r="AQ18" i="14"/>
  <c r="AR18" i="14"/>
  <c r="AS18" i="14"/>
  <c r="AT18" i="14"/>
  <c r="AK19" i="14"/>
  <c r="AL19" i="14"/>
  <c r="AM19" i="14"/>
  <c r="AN19" i="14"/>
  <c r="AO19" i="14"/>
  <c r="AP19" i="14"/>
  <c r="AQ19" i="14"/>
  <c r="AR19" i="14"/>
  <c r="AS19" i="14"/>
  <c r="AT19" i="14"/>
  <c r="AK20" i="14"/>
  <c r="AL20" i="14"/>
  <c r="AM20" i="14"/>
  <c r="AN20" i="14"/>
  <c r="AO20" i="14"/>
  <c r="AP20" i="14"/>
  <c r="AQ20" i="14"/>
  <c r="AR20" i="14"/>
  <c r="AS20" i="14"/>
  <c r="AT20" i="14"/>
  <c r="AK21" i="14"/>
  <c r="AL21" i="14"/>
  <c r="AN21" i="14"/>
  <c r="AO21" i="14"/>
  <c r="AP21" i="14"/>
  <c r="AQ21" i="14"/>
  <c r="AR21" i="14"/>
  <c r="AS21" i="14"/>
  <c r="AT21" i="14"/>
  <c r="AK22" i="14"/>
  <c r="AL22" i="14"/>
  <c r="AM22" i="14"/>
  <c r="AN22" i="14"/>
  <c r="AO22" i="14"/>
  <c r="AP22" i="14"/>
  <c r="AQ22" i="14"/>
  <c r="AR22" i="14"/>
  <c r="AS22" i="14"/>
  <c r="AT22" i="14"/>
  <c r="AK23" i="14"/>
  <c r="AL23" i="14"/>
  <c r="AM23" i="14"/>
  <c r="AN23" i="14"/>
  <c r="AO23" i="14"/>
  <c r="AP23" i="14"/>
  <c r="AQ23" i="14"/>
  <c r="AR23" i="14"/>
  <c r="AS23" i="14"/>
  <c r="AT23" i="14"/>
  <c r="AK24" i="14"/>
  <c r="AL24" i="14"/>
  <c r="AM24" i="14"/>
  <c r="AN24" i="14"/>
  <c r="AO24" i="14"/>
  <c r="AP24" i="14"/>
  <c r="AQ24" i="14"/>
  <c r="AR24" i="14"/>
  <c r="AS24" i="14"/>
  <c r="AT24" i="14"/>
  <c r="AK25" i="14"/>
  <c r="AL25" i="14"/>
  <c r="AM25" i="14"/>
  <c r="AN25" i="14"/>
  <c r="AO25" i="14"/>
  <c r="AP25" i="14"/>
  <c r="AQ25" i="14"/>
  <c r="AR25" i="14"/>
  <c r="AS25" i="14"/>
  <c r="AT25" i="14"/>
  <c r="AK26" i="14"/>
  <c r="AL26" i="14"/>
  <c r="AM26" i="14"/>
  <c r="AN26" i="14"/>
  <c r="AO26" i="14"/>
  <c r="AP26" i="14"/>
  <c r="AQ26" i="14"/>
  <c r="AR26" i="14"/>
  <c r="AS26" i="14"/>
  <c r="AT26" i="14"/>
  <c r="AK27" i="14"/>
  <c r="AL27" i="14"/>
  <c r="AM27" i="14"/>
  <c r="AN27" i="14"/>
  <c r="AO27" i="14"/>
  <c r="AP27" i="14"/>
  <c r="AQ27" i="14"/>
  <c r="AR27" i="14"/>
  <c r="AS27" i="14"/>
  <c r="AT27" i="14"/>
  <c r="AK28" i="14"/>
  <c r="AL28" i="14"/>
  <c r="AM28" i="14"/>
  <c r="AN28" i="14"/>
  <c r="AO28" i="14"/>
  <c r="AP28" i="14"/>
  <c r="AQ28" i="14"/>
  <c r="AR28" i="14"/>
  <c r="AS28" i="14"/>
  <c r="AT28" i="14"/>
  <c r="AK29" i="14"/>
  <c r="AL29" i="14"/>
  <c r="AM29" i="14"/>
  <c r="AN29" i="14"/>
  <c r="AO29" i="14"/>
  <c r="AP29" i="14"/>
  <c r="AQ29" i="14"/>
  <c r="AR29" i="14"/>
  <c r="AS29" i="14"/>
  <c r="AT29" i="14"/>
  <c r="AK30" i="14"/>
  <c r="AL30" i="14"/>
  <c r="AM30" i="14"/>
  <c r="AN30" i="14"/>
  <c r="AO30" i="14"/>
  <c r="AP30" i="14"/>
  <c r="AQ30" i="14"/>
  <c r="AR30" i="14"/>
  <c r="AS30" i="14"/>
  <c r="AT30" i="14"/>
  <c r="AK31" i="14"/>
  <c r="AL31" i="14"/>
  <c r="AM31" i="14"/>
  <c r="AN31" i="14"/>
  <c r="AO31" i="14"/>
  <c r="AP31" i="14"/>
  <c r="AQ31" i="14"/>
  <c r="AR31" i="14"/>
  <c r="AS31" i="14"/>
  <c r="AT31" i="14"/>
  <c r="AK32" i="14"/>
  <c r="AL32" i="14"/>
  <c r="AM32" i="14"/>
  <c r="AN32" i="14"/>
  <c r="AO32" i="14"/>
  <c r="AP32" i="14"/>
  <c r="AQ32" i="14"/>
  <c r="AR32" i="14"/>
  <c r="AS32" i="14"/>
  <c r="AT32" i="14"/>
  <c r="AK33" i="14"/>
  <c r="AL33" i="14"/>
  <c r="AM33" i="14"/>
  <c r="AN33" i="14"/>
  <c r="AO33" i="14"/>
  <c r="AP33" i="14"/>
  <c r="AQ33" i="14"/>
  <c r="AR33" i="14"/>
  <c r="AS33" i="14"/>
  <c r="AT33" i="14"/>
  <c r="AK34" i="14"/>
  <c r="AL34" i="14"/>
  <c r="AM34" i="14"/>
  <c r="AN34" i="14"/>
  <c r="AO34" i="14"/>
  <c r="AP34" i="14"/>
  <c r="AQ34" i="14"/>
  <c r="AR34" i="14"/>
  <c r="AS34" i="14"/>
  <c r="AT34" i="14"/>
  <c r="AK35" i="14"/>
  <c r="AL35" i="14"/>
  <c r="AM35" i="14"/>
  <c r="AN35" i="14"/>
  <c r="AO35" i="14"/>
  <c r="AP35" i="14"/>
  <c r="AQ35" i="14"/>
  <c r="AR35" i="14"/>
  <c r="AS35" i="14"/>
  <c r="AT35" i="14"/>
  <c r="AK36" i="14"/>
  <c r="AL36" i="14"/>
  <c r="AM36" i="14"/>
  <c r="AN36" i="14"/>
  <c r="AO36" i="14"/>
  <c r="AP36" i="14"/>
  <c r="AQ36" i="14"/>
  <c r="AR36" i="14"/>
  <c r="AS36" i="14"/>
  <c r="AT36" i="14"/>
  <c r="AK37" i="14"/>
  <c r="AL37" i="14"/>
  <c r="AM37" i="14"/>
  <c r="AN37" i="14"/>
  <c r="AO37" i="14"/>
  <c r="AP37" i="14"/>
  <c r="AQ37" i="14"/>
  <c r="AR37" i="14"/>
  <c r="AS37" i="14"/>
  <c r="AT37" i="14"/>
  <c r="AK38" i="14"/>
  <c r="AL38" i="14"/>
  <c r="AM38" i="14"/>
  <c r="AN38" i="14"/>
  <c r="AO38" i="14"/>
  <c r="AP38" i="14"/>
  <c r="AQ38" i="14"/>
  <c r="AR38" i="14"/>
  <c r="AS38" i="14"/>
  <c r="AT38" i="14"/>
  <c r="AK39" i="14"/>
  <c r="AL39" i="14"/>
  <c r="AM39" i="14"/>
  <c r="AN39" i="14"/>
  <c r="AO39" i="14"/>
  <c r="AP39" i="14"/>
  <c r="AQ39" i="14"/>
  <c r="AR39" i="14"/>
  <c r="AS39" i="14"/>
  <c r="AT39" i="14"/>
  <c r="AK40" i="14"/>
  <c r="AL40" i="14"/>
  <c r="AM40" i="14"/>
  <c r="AN40" i="14"/>
  <c r="AO40" i="14"/>
  <c r="AP40" i="14"/>
  <c r="AQ40" i="14"/>
  <c r="AR40" i="14"/>
  <c r="AS40" i="14"/>
  <c r="AT40" i="14"/>
  <c r="AK41" i="14"/>
  <c r="AL41" i="14"/>
  <c r="AM41" i="14"/>
  <c r="AN41" i="14"/>
  <c r="AO41" i="14"/>
  <c r="AP41" i="14"/>
  <c r="AQ41" i="14"/>
  <c r="AR41" i="14"/>
  <c r="AS41" i="14"/>
  <c r="AT41" i="14"/>
  <c r="AK42" i="14"/>
  <c r="AL42" i="14"/>
  <c r="AM42" i="14"/>
  <c r="AN42" i="14"/>
  <c r="AO42" i="14"/>
  <c r="AP42" i="14"/>
  <c r="AQ42" i="14"/>
  <c r="AR42" i="14"/>
  <c r="AS42" i="14"/>
  <c r="AT42" i="14"/>
  <c r="AK43" i="14"/>
  <c r="AL43" i="14"/>
  <c r="AM43" i="14"/>
  <c r="AN43" i="14"/>
  <c r="AO43" i="14"/>
  <c r="AP43" i="14"/>
  <c r="AQ43" i="14"/>
  <c r="AR43" i="14"/>
  <c r="AS43" i="14"/>
  <c r="AT43" i="14"/>
  <c r="AK44" i="14"/>
  <c r="AL44" i="14"/>
  <c r="AM44" i="14"/>
  <c r="AN44" i="14"/>
  <c r="AO44" i="14"/>
  <c r="AP44" i="14"/>
  <c r="AQ44" i="14"/>
  <c r="AR44" i="14"/>
  <c r="AS44" i="14"/>
  <c r="AT44" i="14"/>
  <c r="AK45" i="14"/>
  <c r="AL45" i="14"/>
  <c r="AM45" i="14"/>
  <c r="AN45" i="14"/>
  <c r="AO45" i="14"/>
  <c r="AP45" i="14"/>
  <c r="AQ45" i="14"/>
  <c r="AR45" i="14"/>
  <c r="AS45" i="14"/>
  <c r="AT45" i="14"/>
  <c r="AK46" i="14"/>
  <c r="AL46" i="14"/>
  <c r="AM46" i="14"/>
  <c r="AN46" i="14"/>
  <c r="AO46" i="14"/>
  <c r="AP46" i="14"/>
  <c r="AQ46" i="14"/>
  <c r="AR46" i="14"/>
  <c r="AS46" i="14"/>
  <c r="AT46" i="14"/>
  <c r="AK47" i="14"/>
  <c r="AL47" i="14"/>
  <c r="AM47" i="14"/>
  <c r="AN47" i="14"/>
  <c r="AO47" i="14"/>
  <c r="AP47" i="14"/>
  <c r="AQ47" i="14"/>
  <c r="AR47" i="14"/>
  <c r="AS47" i="14"/>
  <c r="AT47" i="14"/>
  <c r="AK48" i="14"/>
  <c r="AL48" i="14"/>
  <c r="AM48" i="14"/>
  <c r="AN48" i="14"/>
  <c r="AO48" i="14"/>
  <c r="AP48" i="14"/>
  <c r="AQ48" i="14"/>
  <c r="AR48" i="14"/>
  <c r="AS48" i="14"/>
  <c r="AT48" i="14"/>
  <c r="AK49" i="14"/>
  <c r="AL49" i="14"/>
  <c r="AM49" i="14"/>
  <c r="AN49" i="14"/>
  <c r="AO49" i="14"/>
  <c r="AP49" i="14"/>
  <c r="AQ49" i="14"/>
  <c r="AR49" i="14"/>
  <c r="AS49" i="14"/>
  <c r="AT49" i="14"/>
  <c r="AK50" i="14"/>
  <c r="AL50" i="14"/>
  <c r="AM50" i="14"/>
  <c r="AN50" i="14"/>
  <c r="AO50" i="14"/>
  <c r="AP50" i="14"/>
  <c r="AQ50" i="14"/>
  <c r="AR50" i="14"/>
  <c r="AS50" i="14"/>
  <c r="AT50" i="14"/>
  <c r="AK51" i="14"/>
  <c r="AL51" i="14"/>
  <c r="AM51" i="14"/>
  <c r="AN51" i="14"/>
  <c r="AO51" i="14"/>
  <c r="AP51" i="14"/>
  <c r="AQ51" i="14"/>
  <c r="AR51" i="14"/>
  <c r="AS51" i="14"/>
  <c r="AT51" i="14"/>
  <c r="AK52" i="14"/>
  <c r="AL52" i="14"/>
  <c r="AM52" i="14"/>
  <c r="AN52" i="14"/>
  <c r="AO52" i="14"/>
  <c r="AP52" i="14"/>
  <c r="AQ52" i="14"/>
  <c r="AR52" i="14"/>
  <c r="AS52" i="14"/>
  <c r="AT52" i="14"/>
  <c r="AK53" i="14"/>
  <c r="AL53" i="14"/>
  <c r="AM53" i="14"/>
  <c r="AN53" i="14"/>
  <c r="AO53" i="14"/>
  <c r="AP53" i="14"/>
  <c r="AQ53" i="14"/>
  <c r="AR53" i="14"/>
  <c r="AS53" i="14"/>
  <c r="AT53" i="14"/>
  <c r="AK54" i="14"/>
  <c r="AL54" i="14"/>
  <c r="AM54" i="14"/>
  <c r="AN54" i="14"/>
  <c r="AO54" i="14"/>
  <c r="AP54" i="14"/>
  <c r="AQ54" i="14"/>
  <c r="AR54" i="14"/>
  <c r="AS54" i="14"/>
  <c r="AT54" i="14"/>
  <c r="AK55" i="14"/>
  <c r="AL55" i="14"/>
  <c r="AM55" i="14"/>
  <c r="AN55" i="14"/>
  <c r="AO55" i="14"/>
  <c r="AP55" i="14"/>
  <c r="AQ55" i="14"/>
  <c r="AR55" i="14"/>
  <c r="AS55" i="14"/>
  <c r="AT55" i="14"/>
  <c r="AK56" i="14"/>
  <c r="AL56" i="14"/>
  <c r="AM56" i="14"/>
  <c r="AN56" i="14"/>
  <c r="AO56" i="14"/>
  <c r="AP56" i="14"/>
  <c r="AQ56" i="14"/>
  <c r="AR56" i="14"/>
  <c r="AS56" i="14"/>
  <c r="AT56" i="14"/>
  <c r="AK57" i="14"/>
  <c r="AL57" i="14"/>
  <c r="AM57" i="14"/>
  <c r="AN57" i="14"/>
  <c r="AO57" i="14"/>
  <c r="AP57" i="14"/>
  <c r="AQ57" i="14"/>
  <c r="AR57" i="14"/>
  <c r="AS57" i="14"/>
  <c r="AT57" i="14"/>
  <c r="AK58" i="14"/>
  <c r="AL58" i="14"/>
  <c r="AM58" i="14"/>
  <c r="AN58" i="14"/>
  <c r="AO58" i="14"/>
  <c r="AP58" i="14"/>
  <c r="AQ58" i="14"/>
  <c r="AR58" i="14"/>
  <c r="AS58" i="14"/>
  <c r="AT58" i="14"/>
  <c r="AK59" i="14"/>
  <c r="AL59" i="14"/>
  <c r="AM59" i="14"/>
  <c r="AN59" i="14"/>
  <c r="AO59" i="14"/>
  <c r="AP59" i="14"/>
  <c r="AQ59" i="14"/>
  <c r="AR59" i="14"/>
  <c r="AS59" i="14"/>
  <c r="AT59" i="14"/>
  <c r="AK60" i="14"/>
  <c r="AL60" i="14"/>
  <c r="AM60" i="14"/>
  <c r="AN60" i="14"/>
  <c r="AO60" i="14"/>
  <c r="AP60" i="14"/>
  <c r="AQ60" i="14"/>
  <c r="AR60" i="14"/>
  <c r="AS60" i="14"/>
  <c r="AT60" i="14"/>
  <c r="AK61" i="14"/>
  <c r="AL61" i="14"/>
  <c r="AM61" i="14"/>
  <c r="AN61" i="14"/>
  <c r="AO61" i="14"/>
  <c r="AP61" i="14"/>
  <c r="AQ61" i="14"/>
  <c r="AR61" i="14"/>
  <c r="AS61" i="14"/>
  <c r="AT61" i="14"/>
  <c r="AK62" i="14"/>
  <c r="AL62" i="14"/>
  <c r="AM62" i="14"/>
  <c r="AN62" i="14"/>
  <c r="AO62" i="14"/>
  <c r="AP62" i="14"/>
  <c r="AQ62" i="14"/>
  <c r="AR62" i="14"/>
  <c r="AS62" i="14"/>
  <c r="AT62" i="14"/>
  <c r="AK63" i="14"/>
  <c r="AL63" i="14"/>
  <c r="AM63" i="14"/>
  <c r="AN63" i="14"/>
  <c r="AO63" i="14"/>
  <c r="AP63" i="14"/>
  <c r="AQ63" i="14"/>
  <c r="AR63" i="14"/>
  <c r="AS63" i="14"/>
  <c r="AT63" i="14"/>
  <c r="AK64" i="14"/>
  <c r="AL64" i="14"/>
  <c r="AM64" i="14"/>
  <c r="AN64" i="14"/>
  <c r="AO64" i="14"/>
  <c r="AP64" i="14"/>
  <c r="AQ64" i="14"/>
  <c r="AR64" i="14"/>
  <c r="AS64" i="14"/>
  <c r="AT64" i="14"/>
  <c r="AK65" i="14"/>
  <c r="AL65" i="14"/>
  <c r="AM65" i="14"/>
  <c r="AN65" i="14"/>
  <c r="AO65" i="14"/>
  <c r="AP65" i="14"/>
  <c r="AQ65" i="14"/>
  <c r="AR65" i="14"/>
  <c r="AS65" i="14"/>
  <c r="AT65" i="14"/>
  <c r="AK66" i="14"/>
  <c r="AL66" i="14"/>
  <c r="AM66" i="14"/>
  <c r="AN66" i="14"/>
  <c r="AO66" i="14"/>
  <c r="AP66" i="14"/>
  <c r="AQ66" i="14"/>
  <c r="AR66" i="14"/>
  <c r="AS66" i="14"/>
  <c r="AT66" i="14"/>
  <c r="AK67" i="14"/>
  <c r="AL67" i="14"/>
  <c r="AM67" i="14"/>
  <c r="AN67" i="14"/>
  <c r="AO67" i="14"/>
  <c r="AP67" i="14"/>
  <c r="AQ67" i="14"/>
  <c r="AR67" i="14"/>
  <c r="AS67" i="14"/>
  <c r="AT67" i="14"/>
  <c r="AK68" i="14"/>
  <c r="AL68" i="14"/>
  <c r="AM68" i="14"/>
  <c r="AN68" i="14"/>
  <c r="AO68" i="14"/>
  <c r="AP68" i="14"/>
  <c r="AQ68" i="14"/>
  <c r="AR68" i="14"/>
  <c r="AS68" i="14"/>
  <c r="AT68" i="14"/>
  <c r="AK69" i="14"/>
  <c r="AL69" i="14"/>
  <c r="AM69" i="14"/>
  <c r="AN69" i="14"/>
  <c r="AO69" i="14"/>
  <c r="AP69" i="14"/>
  <c r="AQ69" i="14"/>
  <c r="AR69" i="14"/>
  <c r="AS69" i="14"/>
  <c r="AT69" i="14"/>
  <c r="AK70" i="14"/>
  <c r="AL70" i="14"/>
  <c r="AM70" i="14"/>
  <c r="AN70" i="14"/>
  <c r="AO70" i="14"/>
  <c r="AP70" i="14"/>
  <c r="AQ70" i="14"/>
  <c r="AR70" i="14"/>
  <c r="AS70" i="14"/>
  <c r="AT70" i="14"/>
  <c r="AK71" i="14"/>
  <c r="AL71" i="14"/>
  <c r="AM71" i="14"/>
  <c r="AN71" i="14"/>
  <c r="AO71" i="14"/>
  <c r="AP71" i="14"/>
  <c r="AQ71" i="14"/>
  <c r="AR71" i="14"/>
  <c r="AS71" i="14"/>
  <c r="AT71" i="14"/>
  <c r="AK72" i="14"/>
  <c r="AL72" i="14"/>
  <c r="AM72" i="14"/>
  <c r="AN72" i="14"/>
  <c r="AO72" i="14"/>
  <c r="AP72" i="14"/>
  <c r="AQ72" i="14"/>
  <c r="AR72" i="14"/>
  <c r="AS72" i="14"/>
  <c r="AT72" i="14"/>
  <c r="AK73" i="14"/>
  <c r="AL73" i="14"/>
  <c r="AM73" i="14"/>
  <c r="AN73" i="14"/>
  <c r="AO73" i="14"/>
  <c r="AP73" i="14"/>
  <c r="AQ73" i="14"/>
  <c r="AR73" i="14"/>
  <c r="AS73" i="14"/>
  <c r="AT73" i="14"/>
  <c r="AK74" i="14"/>
  <c r="AL74" i="14"/>
  <c r="AM74" i="14"/>
  <c r="AN74" i="14"/>
  <c r="AO74" i="14"/>
  <c r="AP74" i="14"/>
  <c r="AQ74" i="14"/>
  <c r="AR74" i="14"/>
  <c r="AS74" i="14"/>
  <c r="AT74" i="14"/>
  <c r="AK75" i="14"/>
  <c r="AL75" i="14"/>
  <c r="AM75" i="14"/>
  <c r="AN75" i="14"/>
  <c r="AO75" i="14"/>
  <c r="AP75" i="14"/>
  <c r="AQ75" i="14"/>
  <c r="AR75" i="14"/>
  <c r="AS75" i="14"/>
  <c r="AT75" i="14"/>
  <c r="AK76" i="14"/>
  <c r="AL76" i="14"/>
  <c r="AM76" i="14"/>
  <c r="AN76" i="14"/>
  <c r="AO76" i="14"/>
  <c r="AP76" i="14"/>
  <c r="AQ76" i="14"/>
  <c r="AR76" i="14"/>
  <c r="AS76" i="14"/>
  <c r="AT76" i="14"/>
  <c r="AK77" i="14"/>
  <c r="AL77" i="14"/>
  <c r="AM77" i="14"/>
  <c r="AN77" i="14"/>
  <c r="AO77" i="14"/>
  <c r="AP77" i="14"/>
  <c r="AQ77" i="14"/>
  <c r="AR77" i="14"/>
  <c r="AS77" i="14"/>
  <c r="AT77" i="14"/>
  <c r="AK78" i="14"/>
  <c r="AL78" i="14"/>
  <c r="AM78" i="14"/>
  <c r="AN78" i="14"/>
  <c r="AO78" i="14"/>
  <c r="AP78" i="14"/>
  <c r="AQ78" i="14"/>
  <c r="AR78" i="14"/>
  <c r="AS78" i="14"/>
  <c r="AT78" i="14"/>
  <c r="AK79" i="14"/>
  <c r="AL79" i="14"/>
  <c r="AM79" i="14"/>
  <c r="AN79" i="14"/>
  <c r="AO79" i="14"/>
  <c r="AP79" i="14"/>
  <c r="AQ79" i="14"/>
  <c r="AR79" i="14"/>
  <c r="AS79" i="14"/>
  <c r="AT79" i="14"/>
  <c r="AK80" i="14"/>
  <c r="AL80" i="14"/>
  <c r="AM80" i="14"/>
  <c r="AN80" i="14"/>
  <c r="AO80" i="14"/>
  <c r="AP80" i="14"/>
  <c r="AQ80" i="14"/>
  <c r="AR80" i="14"/>
  <c r="AS80" i="14"/>
  <c r="AT80" i="14"/>
  <c r="AK81" i="14"/>
  <c r="AL81" i="14"/>
  <c r="AM81" i="14"/>
  <c r="AN81" i="14"/>
  <c r="AO81" i="14"/>
  <c r="AP81" i="14"/>
  <c r="AQ81" i="14"/>
  <c r="AR81" i="14"/>
  <c r="AS81" i="14"/>
  <c r="AT81" i="14"/>
  <c r="AK82" i="14"/>
  <c r="AL82" i="14"/>
  <c r="AM82" i="14"/>
  <c r="AN82" i="14"/>
  <c r="AO82" i="14"/>
  <c r="AP82" i="14"/>
  <c r="AQ82" i="14"/>
  <c r="AR82" i="14"/>
  <c r="AS82" i="14"/>
  <c r="AT82" i="14"/>
  <c r="AK83" i="14"/>
  <c r="AL83" i="14"/>
  <c r="AM83" i="14"/>
  <c r="AN83" i="14"/>
  <c r="AO83" i="14"/>
  <c r="AP83" i="14"/>
  <c r="AQ83" i="14"/>
  <c r="AR83" i="14"/>
  <c r="AS83" i="14"/>
  <c r="AT83" i="14"/>
  <c r="AK84" i="14"/>
  <c r="AL84" i="14"/>
  <c r="AM84" i="14"/>
  <c r="AN84" i="14"/>
  <c r="AO84" i="14"/>
  <c r="AP84" i="14"/>
  <c r="AQ84" i="14"/>
  <c r="AR84" i="14"/>
  <c r="AS84" i="14"/>
  <c r="AT84" i="14"/>
  <c r="AK85" i="14"/>
  <c r="AL85" i="14"/>
  <c r="AM85" i="14"/>
  <c r="AN85" i="14"/>
  <c r="AO85" i="14"/>
  <c r="AP85" i="14"/>
  <c r="AQ85" i="14"/>
  <c r="AR85" i="14"/>
  <c r="AS85" i="14"/>
  <c r="AT85" i="14"/>
  <c r="AK86" i="14"/>
  <c r="AL86" i="14"/>
  <c r="AM86" i="14"/>
  <c r="AN86" i="14"/>
  <c r="AO86" i="14"/>
  <c r="AP86" i="14"/>
  <c r="AQ86" i="14"/>
  <c r="AR86" i="14"/>
  <c r="AS86" i="14"/>
  <c r="AT86" i="14"/>
  <c r="AK87" i="14"/>
  <c r="AL87" i="14"/>
  <c r="AM87" i="14"/>
  <c r="AN87" i="14"/>
  <c r="AO87" i="14"/>
  <c r="AP87" i="14"/>
  <c r="AQ87" i="14"/>
  <c r="AR87" i="14"/>
  <c r="AS87" i="14"/>
  <c r="AT87" i="14"/>
  <c r="AK88" i="14"/>
  <c r="AL88" i="14"/>
  <c r="AM88" i="14"/>
  <c r="AN88" i="14"/>
  <c r="AO88" i="14"/>
  <c r="AP88" i="14"/>
  <c r="AQ88" i="14"/>
  <c r="AR88" i="14"/>
  <c r="AS88" i="14"/>
  <c r="AT88" i="14"/>
  <c r="AK89" i="14"/>
  <c r="AL89" i="14"/>
  <c r="AM89" i="14"/>
  <c r="AN89" i="14"/>
  <c r="AO89" i="14"/>
  <c r="AP89" i="14"/>
  <c r="AQ89" i="14"/>
  <c r="AR89" i="14"/>
  <c r="AS89" i="14"/>
  <c r="AT89" i="14"/>
  <c r="AK90" i="14"/>
  <c r="AL90" i="14"/>
  <c r="AM90" i="14"/>
  <c r="AN90" i="14"/>
  <c r="AO90" i="14"/>
  <c r="AP90" i="14"/>
  <c r="AQ90" i="14"/>
  <c r="AR90" i="14"/>
  <c r="AS90" i="14"/>
  <c r="AT90" i="14"/>
  <c r="AK91" i="14"/>
  <c r="AL91" i="14"/>
  <c r="AM91" i="14"/>
  <c r="AN91" i="14"/>
  <c r="AO91" i="14"/>
  <c r="AP91" i="14"/>
  <c r="AQ91" i="14"/>
  <c r="AR91" i="14"/>
  <c r="AS91" i="14"/>
  <c r="AT91" i="14"/>
  <c r="AK92" i="14"/>
  <c r="AL92" i="14"/>
  <c r="AM92" i="14"/>
  <c r="AN92" i="14"/>
  <c r="AO92" i="14"/>
  <c r="AP92" i="14"/>
  <c r="AQ92" i="14"/>
  <c r="AR92" i="14"/>
  <c r="AS92" i="14"/>
  <c r="AT92" i="14"/>
  <c r="AK93" i="14"/>
  <c r="AL93" i="14"/>
  <c r="AM93" i="14"/>
  <c r="AN93" i="14"/>
  <c r="AO93" i="14"/>
  <c r="AP93" i="14"/>
  <c r="AQ93" i="14"/>
  <c r="AR93" i="14"/>
  <c r="AS93" i="14"/>
  <c r="AT93" i="14"/>
  <c r="AK94" i="14"/>
  <c r="AL94" i="14"/>
  <c r="AM94" i="14"/>
  <c r="AN94" i="14"/>
  <c r="AO94" i="14"/>
  <c r="AP94" i="14"/>
  <c r="AQ94" i="14"/>
  <c r="AR94" i="14"/>
  <c r="AS94" i="14"/>
  <c r="AT94" i="14"/>
  <c r="AK95" i="14"/>
  <c r="AL95" i="14"/>
  <c r="AM95" i="14"/>
  <c r="AN95" i="14"/>
  <c r="AO95" i="14"/>
  <c r="AP95" i="14"/>
  <c r="AQ95" i="14"/>
  <c r="AR95" i="14"/>
  <c r="AS95" i="14"/>
  <c r="AT95" i="14"/>
  <c r="AK96" i="14"/>
  <c r="AL96" i="14"/>
  <c r="AM96" i="14"/>
  <c r="AN96" i="14"/>
  <c r="AO96" i="14"/>
  <c r="AP96" i="14"/>
  <c r="AQ96" i="14"/>
  <c r="AR96" i="14"/>
  <c r="AS96" i="14"/>
  <c r="AT96" i="14"/>
  <c r="AK97" i="14"/>
  <c r="AL97" i="14"/>
  <c r="AM97" i="14"/>
  <c r="AN97" i="14"/>
  <c r="AO97" i="14"/>
  <c r="AP97" i="14"/>
  <c r="AQ97" i="14"/>
  <c r="AR97" i="14"/>
  <c r="AS97" i="14"/>
  <c r="AT97" i="14"/>
  <c r="AK98" i="14"/>
  <c r="AL98" i="14"/>
  <c r="AM98" i="14"/>
  <c r="AN98" i="14"/>
  <c r="AO98" i="14"/>
  <c r="AP98" i="14"/>
  <c r="AQ98" i="14"/>
  <c r="AR98" i="14"/>
  <c r="AS98" i="14"/>
  <c r="AT98" i="14"/>
  <c r="AK99" i="14"/>
  <c r="AL99" i="14"/>
  <c r="AM99" i="14"/>
  <c r="AN99" i="14"/>
  <c r="AO99" i="14"/>
  <c r="AP99" i="14"/>
  <c r="AQ99" i="14"/>
  <c r="AR99" i="14"/>
  <c r="AS99" i="14"/>
  <c r="AT99" i="14"/>
  <c r="AK100" i="14"/>
  <c r="AL100" i="14"/>
  <c r="AM100" i="14"/>
  <c r="AN100" i="14"/>
  <c r="AO100" i="14"/>
  <c r="AP100" i="14"/>
  <c r="AQ100" i="14"/>
  <c r="AR100" i="14"/>
  <c r="AS100" i="14"/>
  <c r="AT100" i="14"/>
  <c r="AK101" i="14"/>
  <c r="AL101" i="14"/>
  <c r="AM101" i="14"/>
  <c r="AN101" i="14"/>
  <c r="AO101" i="14"/>
  <c r="AP101" i="14"/>
  <c r="AQ101" i="14"/>
  <c r="AR101" i="14"/>
  <c r="AS101" i="14"/>
  <c r="AT101" i="14"/>
  <c r="AK102" i="14"/>
  <c r="AL102" i="14"/>
  <c r="AM102" i="14"/>
  <c r="AN102" i="14"/>
  <c r="AO102" i="14"/>
  <c r="AP102" i="14"/>
  <c r="AQ102" i="14"/>
  <c r="AR102" i="14"/>
  <c r="AS102" i="14"/>
  <c r="AT102" i="14"/>
  <c r="AK103" i="14"/>
  <c r="AL103" i="14"/>
  <c r="AM103" i="14"/>
  <c r="AN103" i="14"/>
  <c r="AO103" i="14"/>
  <c r="AP103" i="14"/>
  <c r="AQ103" i="14"/>
  <c r="AR103" i="14"/>
  <c r="AS103" i="14"/>
  <c r="AT103" i="14"/>
  <c r="AK104" i="14"/>
  <c r="AL104" i="14"/>
  <c r="AM104" i="14"/>
  <c r="AN104" i="14"/>
  <c r="AO104" i="14"/>
  <c r="AP104" i="14"/>
  <c r="AQ104" i="14"/>
  <c r="AR104" i="14"/>
  <c r="AS104" i="14"/>
  <c r="AT104" i="14"/>
  <c r="AK105" i="14"/>
  <c r="AL105" i="14"/>
  <c r="AM105" i="14"/>
  <c r="AN105" i="14"/>
  <c r="AO105" i="14"/>
  <c r="AP105" i="14"/>
  <c r="AQ105" i="14"/>
  <c r="AR105" i="14"/>
  <c r="AS105" i="14"/>
  <c r="AT105" i="14"/>
  <c r="AK106" i="14"/>
  <c r="AL106" i="14"/>
  <c r="AM106" i="14"/>
  <c r="AN106" i="14"/>
  <c r="AO106" i="14"/>
  <c r="AP106" i="14"/>
  <c r="AQ106" i="14"/>
  <c r="AR106" i="14"/>
  <c r="AS106" i="14"/>
  <c r="AT106" i="14"/>
  <c r="AK107" i="14"/>
  <c r="AL107" i="14"/>
  <c r="AM107" i="14"/>
  <c r="AN107" i="14"/>
  <c r="AO107" i="14"/>
  <c r="AP107" i="14"/>
  <c r="AQ107" i="14"/>
  <c r="AR107" i="14"/>
  <c r="AS107" i="14"/>
  <c r="AT107" i="14"/>
  <c r="AK108" i="14"/>
  <c r="AL108" i="14"/>
  <c r="AM108" i="14"/>
  <c r="AN108" i="14"/>
  <c r="AO108" i="14"/>
  <c r="AP108" i="14"/>
  <c r="AQ108" i="14"/>
  <c r="AR108" i="14"/>
  <c r="AS108" i="14"/>
  <c r="AT108" i="14"/>
  <c r="AK109" i="14"/>
  <c r="AL109" i="14"/>
  <c r="AM109" i="14"/>
  <c r="AN109" i="14"/>
  <c r="AO109" i="14"/>
  <c r="AP109" i="14"/>
  <c r="AQ109" i="14"/>
  <c r="AR109" i="14"/>
  <c r="AS109" i="14"/>
  <c r="AT109" i="14"/>
  <c r="AK110" i="14"/>
  <c r="AL110" i="14"/>
  <c r="AM110" i="14"/>
  <c r="AN110" i="14"/>
  <c r="AO110" i="14"/>
  <c r="AP110" i="14"/>
  <c r="AQ110" i="14"/>
  <c r="AR110" i="14"/>
  <c r="AS110" i="14"/>
  <c r="AT110" i="14"/>
  <c r="AK111" i="14"/>
  <c r="AL111" i="14"/>
  <c r="AM111" i="14"/>
  <c r="AN111" i="14"/>
  <c r="AO111" i="14"/>
  <c r="AP111" i="14"/>
  <c r="AQ111" i="14"/>
  <c r="AR111" i="14"/>
  <c r="AS111" i="14"/>
  <c r="AT111" i="14"/>
  <c r="AK112" i="14"/>
  <c r="AL112" i="14"/>
  <c r="AM112" i="14"/>
  <c r="AN112" i="14"/>
  <c r="AO112" i="14"/>
  <c r="AP112" i="14"/>
  <c r="AQ112" i="14"/>
  <c r="AR112" i="14"/>
  <c r="AS112" i="14"/>
  <c r="AT112" i="14"/>
  <c r="AK113" i="14"/>
  <c r="AL113" i="14"/>
  <c r="AM113" i="14"/>
  <c r="AN113" i="14"/>
  <c r="AO113" i="14"/>
  <c r="AP113" i="14"/>
  <c r="AQ113" i="14"/>
  <c r="AR113" i="14"/>
  <c r="AS113" i="14"/>
  <c r="AT113" i="14"/>
  <c r="AK114" i="14"/>
  <c r="AL114" i="14"/>
  <c r="AM114" i="14"/>
  <c r="AN114" i="14"/>
  <c r="AO114" i="14"/>
  <c r="AP114" i="14"/>
  <c r="AQ114" i="14"/>
  <c r="AR114" i="14"/>
  <c r="AS114" i="14"/>
  <c r="AT114" i="14"/>
  <c r="AK115" i="14"/>
  <c r="AL115" i="14"/>
  <c r="AM115" i="14"/>
  <c r="AN115" i="14"/>
  <c r="AO115" i="14"/>
  <c r="AP115" i="14"/>
  <c r="AQ115" i="14"/>
  <c r="AR115" i="14"/>
  <c r="AS115" i="14"/>
  <c r="AT115" i="14"/>
  <c r="AK116" i="14"/>
  <c r="AL116" i="14"/>
  <c r="AM116" i="14"/>
  <c r="AN116" i="14"/>
  <c r="AO116" i="14"/>
  <c r="AP116" i="14"/>
  <c r="AQ116" i="14"/>
  <c r="AR116" i="14"/>
  <c r="AS116" i="14"/>
  <c r="AT116" i="14"/>
  <c r="AK117" i="14"/>
  <c r="AL117" i="14"/>
  <c r="AM117" i="14"/>
  <c r="AN117" i="14"/>
  <c r="AO117" i="14"/>
  <c r="AP117" i="14"/>
  <c r="AQ117" i="14"/>
  <c r="AR117" i="14"/>
  <c r="AS117" i="14"/>
  <c r="AT117" i="14"/>
  <c r="AK118" i="14"/>
  <c r="AL118" i="14"/>
  <c r="AM118" i="14"/>
  <c r="AN118" i="14"/>
  <c r="AO118" i="14"/>
  <c r="AP118" i="14"/>
  <c r="AQ118" i="14"/>
  <c r="AR118" i="14"/>
  <c r="AS118" i="14"/>
  <c r="AT118" i="14"/>
  <c r="AK119" i="14"/>
  <c r="AL119" i="14"/>
  <c r="AM119" i="14"/>
  <c r="AN119" i="14"/>
  <c r="AO119" i="14"/>
  <c r="AP119" i="14"/>
  <c r="AQ119" i="14"/>
  <c r="AR119" i="14"/>
  <c r="AS119" i="14"/>
  <c r="AT119" i="14"/>
  <c r="AK120" i="14"/>
  <c r="AL120" i="14"/>
  <c r="AM120" i="14"/>
  <c r="AN120" i="14"/>
  <c r="AO120" i="14"/>
  <c r="AP120" i="14"/>
  <c r="AQ120" i="14"/>
  <c r="AR120" i="14"/>
  <c r="AS120" i="14"/>
  <c r="AT120" i="14"/>
  <c r="AK121" i="14"/>
  <c r="AL121" i="14"/>
  <c r="AM121" i="14"/>
  <c r="AN121" i="14"/>
  <c r="AO121" i="14"/>
  <c r="AP121" i="14"/>
  <c r="AQ121" i="14"/>
  <c r="AR121" i="14"/>
  <c r="AS121" i="14"/>
  <c r="AT121" i="14"/>
  <c r="AK122" i="14"/>
  <c r="AL122" i="14"/>
  <c r="AM122" i="14"/>
  <c r="AN122" i="14"/>
  <c r="AO122" i="14"/>
  <c r="AP122" i="14"/>
  <c r="AQ122" i="14"/>
  <c r="AR122" i="14"/>
  <c r="AS122" i="14"/>
  <c r="AT122" i="14"/>
  <c r="AK123" i="14"/>
  <c r="AL123" i="14"/>
  <c r="AM123" i="14"/>
  <c r="AN123" i="14"/>
  <c r="AO123" i="14"/>
  <c r="AP123" i="14"/>
  <c r="AQ123" i="14"/>
  <c r="AR123" i="14"/>
  <c r="AS123" i="14"/>
  <c r="AT123" i="14"/>
  <c r="AK124" i="14"/>
  <c r="AL124" i="14"/>
  <c r="AM124" i="14"/>
  <c r="AN124" i="14"/>
  <c r="AO124" i="14"/>
  <c r="AP124" i="14"/>
  <c r="AQ124" i="14"/>
  <c r="AR124" i="14"/>
  <c r="AS124" i="14"/>
  <c r="AT124" i="14"/>
  <c r="AK125" i="14"/>
  <c r="AL125" i="14"/>
  <c r="AM125" i="14"/>
  <c r="AN125" i="14"/>
  <c r="AO125" i="14"/>
  <c r="AP125" i="14"/>
  <c r="AQ125" i="14"/>
  <c r="AR125" i="14"/>
  <c r="AS125" i="14"/>
  <c r="AT125" i="14"/>
  <c r="AK126" i="14"/>
  <c r="AL126" i="14"/>
  <c r="AM126" i="14"/>
  <c r="AN126" i="14"/>
  <c r="AO126" i="14"/>
  <c r="AP126" i="14"/>
  <c r="AQ126" i="14"/>
  <c r="AR126" i="14"/>
  <c r="AS126" i="14"/>
  <c r="AT126" i="14"/>
  <c r="AK127" i="14"/>
  <c r="AL127" i="14"/>
  <c r="AM127" i="14"/>
  <c r="AN127" i="14"/>
  <c r="AO127" i="14"/>
  <c r="AP127" i="14"/>
  <c r="AQ127" i="14"/>
  <c r="AR127" i="14"/>
  <c r="AS127" i="14"/>
  <c r="AT127" i="14"/>
  <c r="AK128" i="14"/>
  <c r="AL128" i="14"/>
  <c r="AM128" i="14"/>
  <c r="AN128" i="14"/>
  <c r="AO128" i="14"/>
  <c r="AP128" i="14"/>
  <c r="AQ128" i="14"/>
  <c r="AR128" i="14"/>
  <c r="AS128" i="14"/>
  <c r="AT128" i="14"/>
  <c r="AK129" i="14"/>
  <c r="AL129" i="14"/>
  <c r="AM129" i="14"/>
  <c r="AN129" i="14"/>
  <c r="AO129" i="14"/>
  <c r="AP129" i="14"/>
  <c r="AQ129" i="14"/>
  <c r="AR129" i="14"/>
  <c r="AS129" i="14"/>
  <c r="AT129" i="14"/>
  <c r="AK130" i="14"/>
  <c r="AL130" i="14"/>
  <c r="AM130" i="14"/>
  <c r="AN130" i="14"/>
  <c r="AO130" i="14"/>
  <c r="AP130" i="14"/>
  <c r="AQ130" i="14"/>
  <c r="AR130" i="14"/>
  <c r="AS130" i="14"/>
  <c r="AT130" i="14"/>
  <c r="AK131" i="14"/>
  <c r="AL131" i="14"/>
  <c r="AM131" i="14"/>
  <c r="AN131" i="14"/>
  <c r="AO131" i="14"/>
  <c r="AP131" i="14"/>
  <c r="AQ131" i="14"/>
  <c r="AR131" i="14"/>
  <c r="AS131" i="14"/>
  <c r="AT131" i="14"/>
  <c r="AK132" i="14"/>
  <c r="AL132" i="14"/>
  <c r="AM132" i="14"/>
  <c r="AN132" i="14"/>
  <c r="AO132" i="14"/>
  <c r="AP132" i="14"/>
  <c r="AQ132" i="14"/>
  <c r="AR132" i="14"/>
  <c r="AS132" i="14"/>
  <c r="AT132" i="14"/>
  <c r="AK133" i="14"/>
  <c r="AL133" i="14"/>
  <c r="AM133" i="14"/>
  <c r="AN133" i="14"/>
  <c r="AO133" i="14"/>
  <c r="AP133" i="14"/>
  <c r="AQ133" i="14"/>
  <c r="AR133" i="14"/>
  <c r="AS133" i="14"/>
  <c r="AT133" i="14"/>
  <c r="AU2" i="14"/>
  <c r="AT2" i="14"/>
  <c r="AS2" i="14"/>
  <c r="AR2" i="14"/>
  <c r="AQ2" i="14"/>
  <c r="AP2" i="14"/>
  <c r="AO2" i="14"/>
  <c r="AN2" i="14"/>
  <c r="AM2" i="14"/>
  <c r="AL2" i="14"/>
  <c r="AK2" i="14"/>
  <c r="E9" i="3" a="1"/>
  <c r="E9" i="3"/>
  <c r="E8" i="3" a="1"/>
  <c r="E8" i="3"/>
  <c r="E7" i="3" a="1"/>
  <c r="E7" i="3"/>
  <c r="E6" i="3" a="1"/>
  <c r="E6" i="3"/>
  <c r="E23" i="11"/>
  <c r="E22" i="11"/>
  <c r="E21" i="11"/>
  <c r="E20" i="11"/>
  <c r="E19" i="11"/>
  <c r="I10" i="15"/>
  <c r="O16" i="16"/>
  <c r="M12" i="13"/>
  <c r="M17" i="13"/>
  <c r="B23" i="2"/>
  <c r="F111" i="2"/>
  <c r="P4" i="11"/>
  <c r="O4" i="11"/>
  <c r="N4" i="11"/>
  <c r="M4" i="11"/>
  <c r="M7" i="11"/>
  <c r="O15" i="13"/>
  <c r="H10" i="15"/>
  <c r="J7" i="15"/>
  <c r="J10" i="15"/>
  <c r="B16" i="6"/>
  <c r="J9" i="11"/>
  <c r="H9" i="11"/>
  <c r="I6" i="15"/>
  <c r="I5" i="15"/>
  <c r="L7" i="15"/>
  <c r="I11" i="15"/>
  <c r="O7" i="15"/>
  <c r="I12" i="15"/>
  <c r="C24" i="16"/>
  <c r="C22" i="16"/>
  <c r="C21" i="16"/>
  <c r="C20" i="16"/>
  <c r="C19" i="16"/>
  <c r="C18" i="16"/>
  <c r="C17" i="16"/>
  <c r="C16" i="16"/>
  <c r="C15" i="16"/>
  <c r="C14" i="16"/>
  <c r="C13" i="16"/>
  <c r="C12" i="16"/>
  <c r="C11" i="16"/>
  <c r="C10" i="16"/>
  <c r="C9" i="16"/>
  <c r="C8" i="16"/>
  <c r="C7" i="16"/>
  <c r="C6" i="16"/>
  <c r="C5" i="16"/>
  <c r="P7" i="3" a="1"/>
  <c r="P7" i="3"/>
  <c r="B20" i="16"/>
  <c r="B19" i="16"/>
  <c r="B24" i="16"/>
  <c r="F22" i="16"/>
  <c r="B21" i="16"/>
  <c r="B18" i="16"/>
  <c r="B17" i="16"/>
  <c r="B16" i="16"/>
  <c r="O21" i="16"/>
  <c r="O20" i="16"/>
  <c r="O19" i="16"/>
  <c r="O18" i="16"/>
  <c r="O35" i="16"/>
  <c r="O34" i="16"/>
  <c r="O33" i="16"/>
  <c r="O32" i="16"/>
  <c r="O31" i="16"/>
  <c r="O30" i="16"/>
  <c r="O29" i="16"/>
  <c r="O28" i="16"/>
  <c r="O27" i="16"/>
  <c r="O26" i="16"/>
  <c r="O25" i="16"/>
  <c r="O24" i="16"/>
  <c r="O22" i="16"/>
  <c r="O17" i="16"/>
  <c r="O15" i="16"/>
  <c r="O14" i="16"/>
  <c r="O13" i="16"/>
  <c r="O12" i="16"/>
  <c r="O11" i="16"/>
  <c r="O10" i="16"/>
  <c r="O9" i="16"/>
  <c r="O8" i="16"/>
  <c r="O7" i="16"/>
  <c r="O6" i="16"/>
  <c r="O5" i="16"/>
  <c r="O4" i="16"/>
  <c r="B15" i="16"/>
  <c r="B14" i="16"/>
  <c r="B13" i="16"/>
  <c r="B12" i="16"/>
  <c r="B11" i="16"/>
  <c r="B10" i="16"/>
  <c r="B9" i="16"/>
  <c r="B8" i="16"/>
  <c r="B7" i="16"/>
  <c r="B6" i="16"/>
  <c r="B5" i="16"/>
  <c r="E6" i="16"/>
  <c r="D6" i="16"/>
  <c r="D16" i="16"/>
  <c r="E16" i="16"/>
  <c r="E7" i="16"/>
  <c r="D7" i="16"/>
  <c r="E11" i="16"/>
  <c r="D11" i="16"/>
  <c r="D15" i="16"/>
  <c r="E15" i="16"/>
  <c r="F17" i="16"/>
  <c r="D17" i="16"/>
  <c r="E17" i="16"/>
  <c r="D24" i="16"/>
  <c r="E24" i="16"/>
  <c r="D14" i="16"/>
  <c r="E14" i="16"/>
  <c r="E8" i="16"/>
  <c r="D8" i="16"/>
  <c r="E12" i="16"/>
  <c r="D12" i="16"/>
  <c r="F18" i="16"/>
  <c r="D18" i="16"/>
  <c r="E18" i="16"/>
  <c r="F19" i="16"/>
  <c r="D19" i="16"/>
  <c r="E19" i="16"/>
  <c r="E10" i="16"/>
  <c r="D10" i="16"/>
  <c r="E5" i="16"/>
  <c r="D5" i="16"/>
  <c r="E9" i="16"/>
  <c r="D9" i="16"/>
  <c r="D13" i="16"/>
  <c r="E13" i="16"/>
  <c r="F21" i="16"/>
  <c r="D21" i="16"/>
  <c r="E21" i="16"/>
  <c r="D20" i="16"/>
  <c r="E20" i="16"/>
  <c r="I12" i="16"/>
  <c r="F12" i="16"/>
  <c r="I9" i="16"/>
  <c r="F9" i="16"/>
  <c r="I6" i="16"/>
  <c r="F6" i="16"/>
  <c r="I10" i="16"/>
  <c r="F10" i="16"/>
  <c r="I14" i="16"/>
  <c r="F14" i="16"/>
  <c r="I8" i="16"/>
  <c r="F8" i="16"/>
  <c r="I5" i="16"/>
  <c r="F5" i="16"/>
  <c r="I13" i="16"/>
  <c r="F13" i="16"/>
  <c r="I24" i="16"/>
  <c r="F24" i="16"/>
  <c r="I7" i="16"/>
  <c r="F7" i="16"/>
  <c r="I11" i="16"/>
  <c r="F11" i="16"/>
  <c r="I15" i="16"/>
  <c r="F15" i="16"/>
  <c r="I16" i="16"/>
  <c r="F16" i="16"/>
  <c r="I20" i="16"/>
  <c r="F20" i="16"/>
  <c r="H19" i="16"/>
  <c r="I19" i="16"/>
  <c r="G21" i="16"/>
  <c r="I21" i="16"/>
  <c r="G22" i="16"/>
  <c r="I22" i="16"/>
  <c r="G17" i="16"/>
  <c r="I17" i="16"/>
  <c r="G18" i="16"/>
  <c r="I18" i="16"/>
  <c r="H21" i="16"/>
  <c r="H17" i="16"/>
  <c r="G20" i="16"/>
  <c r="G19" i="16"/>
  <c r="H20" i="16"/>
  <c r="H18" i="16"/>
  <c r="H22" i="16"/>
  <c r="G24" i="16"/>
  <c r="H24" i="16"/>
  <c r="G5" i="16"/>
  <c r="G9" i="16"/>
  <c r="G13" i="16"/>
  <c r="H5" i="16"/>
  <c r="H9" i="16"/>
  <c r="H13" i="16"/>
  <c r="G6" i="16"/>
  <c r="G10" i="16"/>
  <c r="G14" i="16"/>
  <c r="H6" i="16"/>
  <c r="H10" i="16"/>
  <c r="H14" i="16"/>
  <c r="G7" i="16"/>
  <c r="G11" i="16"/>
  <c r="G15" i="16"/>
  <c r="H7" i="16"/>
  <c r="H11" i="16"/>
  <c r="H15" i="16"/>
  <c r="G8" i="16"/>
  <c r="G12" i="16"/>
  <c r="G16" i="16"/>
  <c r="H8" i="16"/>
  <c r="H12" i="16"/>
  <c r="H16" i="16"/>
  <c r="N7" i="15"/>
  <c r="N6" i="15"/>
  <c r="N5" i="15"/>
  <c r="N4" i="15"/>
  <c r="N3" i="15"/>
  <c r="K7" i="15"/>
  <c r="K6" i="15"/>
  <c r="K5" i="15"/>
  <c r="K4" i="15"/>
  <c r="K3" i="15"/>
  <c r="O12" i="13"/>
  <c r="O11" i="13"/>
  <c r="J6" i="15"/>
  <c r="O14" i="13"/>
  <c r="J5" i="15"/>
  <c r="O13" i="13"/>
  <c r="H11" i="15"/>
  <c r="M7" i="15"/>
  <c r="J11" i="15"/>
  <c r="H12" i="15"/>
  <c r="P7" i="15"/>
  <c r="J12" i="15"/>
  <c r="D27" i="13"/>
  <c r="D24" i="13"/>
  <c r="H28" i="13"/>
  <c r="H27" i="13"/>
  <c r="H26" i="13"/>
  <c r="H25" i="13"/>
  <c r="H24" i="13"/>
  <c r="F28" i="13"/>
  <c r="F27" i="13"/>
  <c r="F26" i="13"/>
  <c r="F25" i="13"/>
  <c r="F24" i="13"/>
  <c r="B21" i="2"/>
  <c r="B19" i="2"/>
  <c r="B24" i="2"/>
  <c r="B22" i="2"/>
  <c r="K1" i="15"/>
  <c r="G11" i="15"/>
  <c r="N1" i="15"/>
  <c r="G12" i="15"/>
  <c r="H1" i="15"/>
  <c r="G10" i="15"/>
  <c r="L24" i="13"/>
  <c r="D23" i="13"/>
  <c r="L15" i="13"/>
  <c r="L14" i="13"/>
  <c r="L13" i="13"/>
  <c r="L12" i="13"/>
  <c r="L11" i="13"/>
  <c r="P11" i="13"/>
  <c r="N4" i="13"/>
  <c r="M15" i="13"/>
  <c r="M14" i="13"/>
  <c r="M13" i="13"/>
  <c r="F76" i="3" a="1"/>
  <c r="F76" i="3"/>
  <c r="F75" i="3" a="1"/>
  <c r="F75" i="3"/>
  <c r="F74" i="3" a="1"/>
  <c r="F74" i="3"/>
  <c r="F73" i="3" a="1"/>
  <c r="F73" i="3"/>
  <c r="F72" i="3" a="1"/>
  <c r="F72" i="3"/>
  <c r="E72" i="3" a="1"/>
  <c r="E72" i="3"/>
  <c r="E74" i="3" a="1"/>
  <c r="E74" i="3"/>
  <c r="E73" i="3" a="1"/>
  <c r="E73" i="3"/>
  <c r="E76" i="3" a="1"/>
  <c r="E76" i="3"/>
  <c r="P9" i="3" a="1"/>
  <c r="P9" i="3"/>
  <c r="P8" i="3" a="1"/>
  <c r="P8" i="3"/>
  <c r="P6" i="3" a="1"/>
  <c r="P6" i="3"/>
  <c r="P5" i="3" a="1"/>
  <c r="P5" i="3"/>
  <c r="P12" i="13"/>
  <c r="N5" i="13"/>
  <c r="P13" i="13"/>
  <c r="N6" i="13"/>
  <c r="P14" i="13"/>
  <c r="N7" i="13"/>
  <c r="P15" i="13"/>
  <c r="N8" i="13"/>
  <c r="M18" i="13"/>
  <c r="P7" i="11"/>
  <c r="O7" i="11"/>
  <c r="N7" i="11"/>
  <c r="H95" i="2"/>
  <c r="G95" i="2"/>
  <c r="F95" i="2"/>
  <c r="E95" i="2"/>
  <c r="D95" i="2"/>
  <c r="B95" i="2"/>
  <c r="C95" i="2"/>
  <c r="A95" i="2"/>
  <c r="H94" i="2"/>
  <c r="G94" i="2"/>
  <c r="F94" i="2"/>
  <c r="E94" i="2"/>
  <c r="D94" i="2"/>
  <c r="B94" i="2"/>
  <c r="C94" i="2"/>
  <c r="A94" i="2"/>
  <c r="H93" i="2"/>
  <c r="G93" i="2"/>
  <c r="F93" i="2"/>
  <c r="E93" i="2"/>
  <c r="D93" i="2"/>
  <c r="B93" i="2"/>
  <c r="C93" i="2"/>
  <c r="A93" i="2"/>
  <c r="H92" i="2"/>
  <c r="G92" i="2"/>
  <c r="F92" i="2"/>
  <c r="E92" i="2"/>
  <c r="D92" i="2"/>
  <c r="B92" i="2"/>
  <c r="C92" i="2"/>
  <c r="A92" i="2"/>
  <c r="H91" i="2"/>
  <c r="G91" i="2"/>
  <c r="F91" i="2"/>
  <c r="E91" i="2"/>
  <c r="D91" i="2"/>
  <c r="B91" i="2"/>
  <c r="C91" i="2"/>
  <c r="A91" i="2"/>
  <c r="H90" i="2"/>
  <c r="G90" i="2"/>
  <c r="F90" i="2"/>
  <c r="E90" i="2"/>
  <c r="D90" i="2"/>
  <c r="B90" i="2"/>
  <c r="C90" i="2"/>
  <c r="A90" i="2"/>
  <c r="H89" i="2"/>
  <c r="G89" i="2"/>
  <c r="F89" i="2"/>
  <c r="E89" i="2"/>
  <c r="D89" i="2"/>
  <c r="B89" i="2"/>
  <c r="C89" i="2"/>
  <c r="A89" i="2"/>
  <c r="F72" i="2"/>
  <c r="E72" i="2"/>
  <c r="D72" i="2"/>
  <c r="F71" i="2"/>
  <c r="E71" i="2"/>
  <c r="D71" i="2"/>
  <c r="F70" i="2"/>
  <c r="E70" i="2"/>
  <c r="D70" i="2"/>
  <c r="F69" i="2"/>
  <c r="E69" i="2"/>
  <c r="D69" i="2"/>
  <c r="F68" i="2"/>
  <c r="E68" i="2"/>
  <c r="D68" i="2"/>
  <c r="F67" i="2"/>
  <c r="E67" i="2"/>
  <c r="D67" i="2"/>
  <c r="F66" i="2"/>
  <c r="E66" i="2"/>
  <c r="D66" i="2"/>
  <c r="F65" i="2"/>
  <c r="E65" i="2"/>
  <c r="D65" i="2"/>
  <c r="Z47" i="2"/>
  <c r="Y47" i="2"/>
  <c r="W47" i="2"/>
  <c r="V47" i="2"/>
  <c r="U47" i="2"/>
  <c r="T47" i="2"/>
  <c r="R47" i="2"/>
  <c r="Q47" i="2"/>
  <c r="P47" i="2"/>
  <c r="O47" i="2"/>
  <c r="M47" i="2"/>
  <c r="L47" i="2"/>
  <c r="K47" i="2"/>
  <c r="J47" i="2"/>
  <c r="H47" i="2"/>
  <c r="G47" i="2"/>
  <c r="F47" i="2" a="1"/>
  <c r="F47" i="2"/>
  <c r="E47" i="2" a="1"/>
  <c r="E47" i="2"/>
  <c r="C47" i="2"/>
  <c r="B47" i="2"/>
  <c r="Z46" i="2"/>
  <c r="Y46" i="2"/>
  <c r="W46" i="2"/>
  <c r="V46" i="2"/>
  <c r="U46" i="2"/>
  <c r="T46" i="2"/>
  <c r="R46" i="2"/>
  <c r="Q46" i="2"/>
  <c r="P46" i="2"/>
  <c r="O46" i="2"/>
  <c r="M46" i="2"/>
  <c r="L46" i="2"/>
  <c r="K46" i="2"/>
  <c r="J46" i="2"/>
  <c r="H46" i="2"/>
  <c r="G46" i="2"/>
  <c r="F46" i="2" a="1"/>
  <c r="F46" i="2"/>
  <c r="E46" i="2" a="1"/>
  <c r="E46" i="2"/>
  <c r="C46" i="2"/>
  <c r="B46" i="2"/>
  <c r="Z45" i="2"/>
  <c r="Y45" i="2"/>
  <c r="W45" i="2"/>
  <c r="V45" i="2"/>
  <c r="U45" i="2"/>
  <c r="T45" i="2"/>
  <c r="R45" i="2"/>
  <c r="Q45" i="2"/>
  <c r="P45" i="2"/>
  <c r="O45" i="2"/>
  <c r="M45" i="2"/>
  <c r="L45" i="2"/>
  <c r="K45" i="2"/>
  <c r="J45" i="2"/>
  <c r="H45" i="2"/>
  <c r="G45" i="2"/>
  <c r="F45" i="2" a="1"/>
  <c r="F45" i="2"/>
  <c r="E45" i="2" a="1"/>
  <c r="E45" i="2"/>
  <c r="C45" i="2"/>
  <c r="B45" i="2"/>
  <c r="Z44" i="2"/>
  <c r="Y44" i="2"/>
  <c r="W44" i="2"/>
  <c r="V44" i="2"/>
  <c r="U44" i="2"/>
  <c r="T44" i="2"/>
  <c r="R44" i="2"/>
  <c r="Q44" i="2"/>
  <c r="P44" i="2"/>
  <c r="O44" i="2"/>
  <c r="M44" i="2"/>
  <c r="L44" i="2"/>
  <c r="K44" i="2"/>
  <c r="J44" i="2"/>
  <c r="H44" i="2"/>
  <c r="G44" i="2"/>
  <c r="F44" i="2" a="1"/>
  <c r="F44" i="2"/>
  <c r="E44" i="2" a="1"/>
  <c r="E44" i="2"/>
  <c r="C44" i="2"/>
  <c r="B44" i="2"/>
  <c r="Z43" i="2"/>
  <c r="Y43" i="2"/>
  <c r="W43" i="2"/>
  <c r="V43" i="2"/>
  <c r="U43" i="2"/>
  <c r="T43" i="2"/>
  <c r="R43" i="2"/>
  <c r="Q43" i="2"/>
  <c r="P43" i="2"/>
  <c r="O43" i="2"/>
  <c r="M43" i="2"/>
  <c r="L43" i="2"/>
  <c r="K43" i="2"/>
  <c r="J43" i="2"/>
  <c r="H43" i="2"/>
  <c r="G43" i="2"/>
  <c r="F43" i="2" a="1"/>
  <c r="F43" i="2"/>
  <c r="E43" i="2" a="1"/>
  <c r="E43" i="2"/>
  <c r="C43" i="2"/>
  <c r="B43" i="2"/>
  <c r="C72" i="3"/>
  <c r="B67" i="2"/>
  <c r="B71" i="2"/>
  <c r="B72" i="2"/>
  <c r="B65" i="2"/>
  <c r="B69" i="2"/>
  <c r="B70" i="2"/>
  <c r="B66" i="2"/>
  <c r="B68" i="2"/>
  <c r="B76" i="3"/>
  <c r="B75" i="3"/>
  <c r="B74" i="3"/>
  <c r="B73" i="3"/>
  <c r="B72" i="3"/>
  <c r="B15" i="6"/>
  <c r="C15" i="6"/>
  <c r="C17" i="8"/>
  <c r="C7" i="8"/>
  <c r="D31" i="6"/>
  <c r="B31" i="6"/>
  <c r="C7" i="7"/>
  <c r="C31" i="6"/>
  <c r="B21" i="6"/>
  <c r="C16" i="8"/>
  <c r="C21" i="6"/>
  <c r="B16" i="8"/>
  <c r="D7" i="7"/>
  <c r="B7" i="7"/>
  <c r="C18" i="8"/>
  <c r="C8" i="8"/>
  <c r="F112" i="2"/>
  <c r="B23" i="8"/>
  <c r="B15" i="8"/>
  <c r="B5" i="8"/>
  <c r="B14" i="7"/>
  <c r="B6" i="7"/>
  <c r="B18" i="6"/>
  <c r="B38" i="6"/>
  <c r="B30" i="6"/>
  <c r="B14" i="6"/>
  <c r="B5" i="6"/>
  <c r="C46" i="3" a="1"/>
  <c r="C46" i="3"/>
  <c r="C51" i="3" a="1"/>
  <c r="C51" i="3"/>
  <c r="C96" i="3" a="1"/>
  <c r="C96" i="3"/>
  <c r="C97" i="3" a="1"/>
  <c r="C97" i="3"/>
  <c r="C98" i="3" a="1"/>
  <c r="C98" i="3"/>
  <c r="C94" i="3" a="1"/>
  <c r="C94" i="3"/>
  <c r="J73" i="3" a="1"/>
  <c r="J73" i="3"/>
  <c r="J74" i="3" a="1"/>
  <c r="J74" i="3"/>
  <c r="J75" i="3" a="1"/>
  <c r="J75" i="3"/>
  <c r="D8" i="6"/>
  <c r="J76" i="3" a="1"/>
  <c r="J76" i="3"/>
  <c r="J72" i="3" a="1"/>
  <c r="J72" i="3"/>
  <c r="B8" i="8"/>
  <c r="I73" i="3" a="1"/>
  <c r="I73" i="3"/>
  <c r="I74" i="3" a="1"/>
  <c r="I74" i="3"/>
  <c r="I75" i="3" a="1"/>
  <c r="I75" i="3"/>
  <c r="D7" i="6"/>
  <c r="I76" i="3" a="1"/>
  <c r="I76" i="3"/>
  <c r="I72" i="3" a="1"/>
  <c r="I72" i="3"/>
  <c r="B7" i="8"/>
  <c r="H73" i="3" a="1"/>
  <c r="H73" i="3"/>
  <c r="D9" i="7"/>
  <c r="H74" i="3" a="1"/>
  <c r="H74" i="3"/>
  <c r="H75" i="3" a="1"/>
  <c r="H75" i="3"/>
  <c r="H76" i="3" a="1"/>
  <c r="H76" i="3"/>
  <c r="H72" i="3" a="1"/>
  <c r="H72" i="3"/>
  <c r="G73" i="3" a="1"/>
  <c r="G73" i="3"/>
  <c r="D8" i="7"/>
  <c r="G74" i="3" a="1"/>
  <c r="G74" i="3"/>
  <c r="G75" i="3" a="1"/>
  <c r="G75" i="3"/>
  <c r="G76" i="3" a="1"/>
  <c r="G76" i="3"/>
  <c r="G72" i="3" a="1"/>
  <c r="G72" i="3"/>
  <c r="E75" i="3" a="1"/>
  <c r="E75" i="3"/>
  <c r="D21" i="6"/>
  <c r="D76" i="3" a="1"/>
  <c r="D76" i="3"/>
  <c r="D75" i="3" a="1"/>
  <c r="D75" i="3"/>
  <c r="D20" i="6"/>
  <c r="D74" i="3" a="1"/>
  <c r="D74" i="3"/>
  <c r="D73" i="3" a="1"/>
  <c r="D73" i="3"/>
  <c r="D72" i="3"/>
  <c r="C50" i="3" a="1"/>
  <c r="C50" i="3"/>
  <c r="C49" i="3" a="1"/>
  <c r="C49" i="3"/>
  <c r="C48" i="3" a="1"/>
  <c r="C48" i="3"/>
  <c r="C47" i="3" a="1"/>
  <c r="C47" i="3"/>
  <c r="D76" i="2"/>
  <c r="D77" i="2"/>
  <c r="D78" i="2"/>
  <c r="D79" i="2"/>
  <c r="D80" i="2"/>
  <c r="D81" i="2"/>
  <c r="D82" i="2"/>
  <c r="D83" i="2"/>
  <c r="D84" i="2"/>
  <c r="D85" i="2"/>
  <c r="D86" i="2"/>
  <c r="D87" i="2"/>
  <c r="D88" i="2"/>
  <c r="E76" i="2"/>
  <c r="E77" i="2"/>
  <c r="E78" i="2"/>
  <c r="E79" i="2"/>
  <c r="E80" i="2"/>
  <c r="E81" i="2"/>
  <c r="E82" i="2"/>
  <c r="E83" i="2"/>
  <c r="E84" i="2"/>
  <c r="E85" i="2"/>
  <c r="E86" i="2"/>
  <c r="E87" i="2"/>
  <c r="E88" i="2"/>
  <c r="F76" i="2"/>
  <c r="F77" i="2"/>
  <c r="F78" i="2"/>
  <c r="F79" i="2"/>
  <c r="F80" i="2"/>
  <c r="F81" i="2"/>
  <c r="F82" i="2"/>
  <c r="F83" i="2"/>
  <c r="F84" i="2"/>
  <c r="F85" i="2"/>
  <c r="F86" i="2"/>
  <c r="F87" i="2"/>
  <c r="F88" i="2"/>
  <c r="G76" i="2"/>
  <c r="G77" i="2"/>
  <c r="G78" i="2"/>
  <c r="G79" i="2"/>
  <c r="G80" i="2"/>
  <c r="G81" i="2"/>
  <c r="G82" i="2"/>
  <c r="G83" i="2"/>
  <c r="G84" i="2"/>
  <c r="G85" i="2"/>
  <c r="G86" i="2"/>
  <c r="G87" i="2"/>
  <c r="G88" i="2"/>
  <c r="H76" i="2"/>
  <c r="H77" i="2"/>
  <c r="H78" i="2"/>
  <c r="H79" i="2"/>
  <c r="H80" i="2"/>
  <c r="H81" i="2"/>
  <c r="H82" i="2"/>
  <c r="H83" i="2"/>
  <c r="H84" i="2"/>
  <c r="H85" i="2"/>
  <c r="H86" i="2"/>
  <c r="H87" i="2"/>
  <c r="H88" i="2"/>
  <c r="B88" i="2"/>
  <c r="B87" i="2"/>
  <c r="B86" i="2"/>
  <c r="B85" i="2"/>
  <c r="B84" i="2"/>
  <c r="B83" i="2"/>
  <c r="B82" i="2"/>
  <c r="B81" i="2"/>
  <c r="B80" i="2"/>
  <c r="B79" i="2"/>
  <c r="B78" i="2"/>
  <c r="B77" i="2"/>
  <c r="B76" i="2"/>
  <c r="A88" i="2"/>
  <c r="A87" i="2"/>
  <c r="A86" i="2"/>
  <c r="A85" i="2"/>
  <c r="A84" i="2"/>
  <c r="A83" i="2"/>
  <c r="A82" i="2"/>
  <c r="A81" i="2"/>
  <c r="A80" i="2"/>
  <c r="A79" i="2"/>
  <c r="A78" i="2"/>
  <c r="A77" i="2"/>
  <c r="A76" i="2"/>
  <c r="M9" i="3"/>
  <c r="H9" i="18"/>
  <c r="M8" i="3"/>
  <c r="H8" i="18"/>
  <c r="M6" i="3"/>
  <c r="H6" i="18"/>
  <c r="M5" i="3"/>
  <c r="D9" i="3"/>
  <c r="D8" i="3"/>
  <c r="D7" i="3"/>
  <c r="D6" i="3"/>
  <c r="D5" i="3"/>
  <c r="C9" i="3"/>
  <c r="C9" i="18"/>
  <c r="C8" i="3"/>
  <c r="C7" i="3"/>
  <c r="C6" i="3"/>
  <c r="F108" i="3" a="1"/>
  <c r="F108" i="3"/>
  <c r="G108" i="3"/>
  <c r="F11" i="18"/>
  <c r="F107" i="3" a="1"/>
  <c r="F107" i="3"/>
  <c r="G107" i="3"/>
  <c r="F10" i="18"/>
  <c r="D32" i="6"/>
  <c r="B8" i="7"/>
  <c r="D33" i="6"/>
  <c r="B9" i="7"/>
  <c r="B17" i="8"/>
  <c r="C8" i="7"/>
  <c r="C9" i="7"/>
  <c r="B18" i="8"/>
  <c r="B7" i="6"/>
  <c r="C7" i="6"/>
  <c r="B8" i="6"/>
  <c r="C8" i="6"/>
  <c r="B32" i="6"/>
  <c r="C32" i="6"/>
  <c r="C20" i="6"/>
  <c r="B20" i="6"/>
  <c r="B33" i="6"/>
  <c r="C33" i="6"/>
  <c r="L7" i="3" a="1"/>
  <c r="L7" i="3"/>
  <c r="C7" i="18"/>
  <c r="L6" i="3" a="1"/>
  <c r="L6" i="3"/>
  <c r="C6" i="18"/>
  <c r="L8" i="3" a="1"/>
  <c r="L8" i="3"/>
  <c r="C8" i="18"/>
  <c r="L16" i="18"/>
  <c r="G17" i="18"/>
  <c r="G91" i="3" a="1"/>
  <c r="G91" i="3"/>
  <c r="E90" i="3" a="1"/>
  <c r="E90" i="3"/>
  <c r="D90" i="3" a="1"/>
  <c r="D90" i="3"/>
  <c r="C90" i="3" a="1"/>
  <c r="C90" i="3"/>
  <c r="F91" i="3" a="1"/>
  <c r="F91" i="3"/>
  <c r="C88" i="3" a="1"/>
  <c r="C88" i="3"/>
  <c r="C91" i="3" a="1"/>
  <c r="C91" i="3"/>
  <c r="F90" i="3" a="1"/>
  <c r="F90" i="3"/>
  <c r="D91" i="3" a="1"/>
  <c r="D91" i="3"/>
  <c r="E88" i="3" a="1"/>
  <c r="E88" i="3"/>
  <c r="E91" i="3" a="1"/>
  <c r="E91" i="3"/>
  <c r="E89" i="3" a="1"/>
  <c r="E89" i="3"/>
  <c r="G88" i="3" a="1"/>
  <c r="G88" i="3"/>
  <c r="D89" i="3" a="1"/>
  <c r="D89" i="3"/>
  <c r="G89" i="3" a="1"/>
  <c r="G89" i="3"/>
  <c r="C89" i="3" a="1"/>
  <c r="C89" i="3"/>
  <c r="G90" i="3" a="1"/>
  <c r="G90" i="3"/>
  <c r="F88" i="3" a="1"/>
  <c r="F88" i="3"/>
  <c r="F89" i="3" a="1"/>
  <c r="F89" i="3"/>
  <c r="D88" i="3" a="1"/>
  <c r="D88" i="3"/>
  <c r="H5" i="13"/>
  <c r="I5" i="13"/>
  <c r="D7" i="13"/>
  <c r="E7" i="13"/>
  <c r="D5" i="13"/>
  <c r="E5" i="13"/>
  <c r="H7" i="13"/>
  <c r="I7" i="13"/>
  <c r="D6" i="13"/>
  <c r="E6" i="13"/>
  <c r="F7" i="13"/>
  <c r="G7" i="13"/>
  <c r="F6" i="13"/>
  <c r="G6" i="13"/>
  <c r="F5" i="13"/>
  <c r="G5" i="13"/>
  <c r="H6" i="13"/>
  <c r="I6" i="13"/>
  <c r="F7" i="3" a="1"/>
  <c r="F7" i="3"/>
  <c r="J9" i="3"/>
  <c r="G9" i="18"/>
  <c r="G9" i="3"/>
  <c r="F9" i="18"/>
  <c r="L9" i="3" a="1"/>
  <c r="L9" i="3"/>
  <c r="C38" i="3" a="1"/>
  <c r="C38" i="3"/>
  <c r="C29" i="3" a="1"/>
  <c r="C29" i="3"/>
  <c r="C16" i="3" a="1"/>
  <c r="C16" i="3"/>
  <c r="C15" i="3" a="1"/>
  <c r="C15" i="3"/>
  <c r="C27" i="3" a="1"/>
  <c r="C27" i="3"/>
  <c r="C35" i="3" a="1"/>
  <c r="C35" i="3"/>
  <c r="C37" i="3" a="1"/>
  <c r="C37" i="3"/>
  <c r="C28" i="3" a="1"/>
  <c r="C28" i="3"/>
  <c r="C36" i="3" a="1"/>
  <c r="C36" i="3"/>
  <c r="C26" i="3" a="1"/>
  <c r="C26" i="3"/>
  <c r="L5" i="3" a="1"/>
  <c r="L5" i="3"/>
  <c r="T49" i="2"/>
  <c r="E49" i="2"/>
  <c r="O49" i="2"/>
  <c r="J49" i="2"/>
  <c r="Y49" i="2"/>
  <c r="E5" i="3"/>
  <c r="D47" i="3" a="1"/>
  <c r="D47" i="3"/>
  <c r="H17" i="18"/>
  <c r="G7" i="3"/>
  <c r="H21" i="18"/>
  <c r="H18" i="18"/>
  <c r="G16" i="18"/>
  <c r="H16" i="18"/>
  <c r="H89" i="3"/>
  <c r="H91" i="3"/>
  <c r="H88" i="3"/>
  <c r="H90" i="3"/>
  <c r="D26" i="13"/>
  <c r="D28" i="13"/>
  <c r="D49" i="3" a="1"/>
  <c r="D49" i="3"/>
  <c r="D46" i="3" a="1"/>
  <c r="D46" i="3"/>
  <c r="B25" i="6"/>
  <c r="B26" i="6"/>
  <c r="F54" i="2"/>
  <c r="F60" i="2"/>
  <c r="F61" i="2"/>
  <c r="F62" i="2"/>
  <c r="F63" i="2"/>
  <c r="F64" i="2"/>
  <c r="F53" i="2"/>
  <c r="F7" i="18"/>
  <c r="H26" i="18"/>
  <c r="D112" i="2"/>
  <c r="C112" i="2"/>
  <c r="B112" i="2"/>
  <c r="B102" i="2"/>
  <c r="C102" i="2"/>
  <c r="E112" i="2"/>
  <c r="B101" i="2"/>
  <c r="C101" i="2"/>
  <c r="E111" i="2"/>
  <c r="D111" i="2"/>
  <c r="C111" i="2"/>
  <c r="B111" i="2"/>
  <c r="B87" i="3"/>
  <c r="B84" i="3"/>
  <c r="B95" i="3"/>
  <c r="B98" i="3"/>
  <c r="C87" i="3" a="1"/>
  <c r="C87" i="3"/>
  <c r="D87" i="3" a="1"/>
  <c r="D87" i="3"/>
  <c r="G87" i="3" a="1"/>
  <c r="G87" i="3"/>
  <c r="F87" i="3" a="1"/>
  <c r="F87" i="3"/>
  <c r="E87" i="3" a="1"/>
  <c r="E87" i="3"/>
  <c r="F84" i="3" a="1"/>
  <c r="F84" i="3"/>
  <c r="D84" i="3" a="1"/>
  <c r="D84" i="3"/>
  <c r="G84" i="3" a="1"/>
  <c r="G84" i="3"/>
  <c r="E84" i="3" a="1"/>
  <c r="E84" i="3"/>
  <c r="C84" i="3" a="1"/>
  <c r="C84" i="3"/>
  <c r="B86" i="3"/>
  <c r="B85" i="3"/>
  <c r="B83" i="3"/>
  <c r="B94" i="3"/>
  <c r="D83" i="3" a="1"/>
  <c r="D83" i="3"/>
  <c r="C64" i="3" a="1"/>
  <c r="C64" i="3"/>
  <c r="C63" i="3" a="1"/>
  <c r="C63" i="3"/>
  <c r="C62" i="3" a="1"/>
  <c r="C62" i="3"/>
  <c r="C65" i="3" a="1"/>
  <c r="C65" i="3"/>
  <c r="C61" i="3" a="1"/>
  <c r="C61" i="3"/>
  <c r="D63" i="3" a="1"/>
  <c r="D63" i="3"/>
  <c r="D62" i="3" a="1"/>
  <c r="D62" i="3"/>
  <c r="D65" i="3" a="1"/>
  <c r="D65" i="3"/>
  <c r="D61" i="3"/>
  <c r="D64" i="3" a="1"/>
  <c r="D64" i="3"/>
  <c r="G83" i="3" a="1"/>
  <c r="G83" i="3"/>
  <c r="E83" i="3" a="1"/>
  <c r="E83" i="3"/>
  <c r="C83" i="3" a="1"/>
  <c r="C83" i="3"/>
  <c r="F83" i="3" a="1"/>
  <c r="F83" i="3"/>
  <c r="B97" i="3"/>
  <c r="G86" i="3" a="1"/>
  <c r="G86" i="3"/>
  <c r="C86" i="3" a="1"/>
  <c r="C86" i="3"/>
  <c r="D86" i="3" a="1"/>
  <c r="D86" i="3"/>
  <c r="F86" i="3" a="1"/>
  <c r="F86" i="3"/>
  <c r="E86" i="3" a="1"/>
  <c r="E86" i="3"/>
  <c r="B96" i="3"/>
  <c r="G85" i="3" a="1"/>
  <c r="G85" i="3"/>
  <c r="F85" i="3" a="1"/>
  <c r="F85" i="3"/>
  <c r="E85" i="3" a="1"/>
  <c r="E85" i="3"/>
  <c r="D85" i="3" a="1"/>
  <c r="D85" i="3"/>
  <c r="C85" i="3" a="1"/>
  <c r="C85" i="3"/>
  <c r="Z42" i="2"/>
  <c r="Y42" i="2"/>
  <c r="W42" i="2"/>
  <c r="V42" i="2"/>
  <c r="Z41" i="2"/>
  <c r="Y41" i="2"/>
  <c r="W41" i="2"/>
  <c r="V41" i="2"/>
  <c r="Z40" i="2"/>
  <c r="Y40" i="2"/>
  <c r="W40" i="2"/>
  <c r="V40" i="2"/>
  <c r="Z39" i="2"/>
  <c r="Y39" i="2"/>
  <c r="W39" i="2"/>
  <c r="V39" i="2"/>
  <c r="Z38" i="2"/>
  <c r="Y38" i="2"/>
  <c r="W38" i="2"/>
  <c r="V38" i="2"/>
  <c r="Z37" i="2"/>
  <c r="Y37" i="2"/>
  <c r="W37" i="2"/>
  <c r="V37" i="2"/>
  <c r="Z36" i="2"/>
  <c r="Y36" i="2"/>
  <c r="W36" i="2"/>
  <c r="V36" i="2"/>
  <c r="Z35" i="2"/>
  <c r="Y35" i="2"/>
  <c r="W35" i="2"/>
  <c r="V35" i="2"/>
  <c r="Z34" i="2"/>
  <c r="Y34" i="2"/>
  <c r="W34" i="2"/>
  <c r="V34" i="2"/>
  <c r="Z33" i="2"/>
  <c r="Y33" i="2"/>
  <c r="W33" i="2"/>
  <c r="V33" i="2"/>
  <c r="Z32" i="2"/>
  <c r="Y32" i="2"/>
  <c r="W32" i="2"/>
  <c r="V32" i="2"/>
  <c r="Z31" i="2"/>
  <c r="Y31" i="2"/>
  <c r="W31" i="2"/>
  <c r="V31" i="2"/>
  <c r="Z30" i="2"/>
  <c r="Y30" i="2"/>
  <c r="W30" i="2"/>
  <c r="V30" i="2"/>
  <c r="Z29" i="2"/>
  <c r="Y29" i="2"/>
  <c r="W29" i="2"/>
  <c r="V29" i="2"/>
  <c r="Z28" i="2"/>
  <c r="Y28" i="2"/>
  <c r="W28" i="2"/>
  <c r="V28" i="2"/>
  <c r="Z48" i="2"/>
  <c r="Y48" i="2"/>
  <c r="W48" i="2"/>
  <c r="U42" i="2"/>
  <c r="T42" i="2"/>
  <c r="R42" i="2"/>
  <c r="Q42" i="2"/>
  <c r="U41" i="2"/>
  <c r="T41" i="2"/>
  <c r="R41" i="2"/>
  <c r="Q41" i="2"/>
  <c r="U40" i="2"/>
  <c r="T40" i="2"/>
  <c r="R40" i="2"/>
  <c r="Q40" i="2"/>
  <c r="U39" i="2"/>
  <c r="T39" i="2"/>
  <c r="R39" i="2"/>
  <c r="Q39" i="2"/>
  <c r="U38" i="2"/>
  <c r="T38" i="2"/>
  <c r="R38" i="2"/>
  <c r="Q38" i="2"/>
  <c r="U37" i="2"/>
  <c r="T37" i="2"/>
  <c r="R37" i="2"/>
  <c r="Q37" i="2"/>
  <c r="U36" i="2"/>
  <c r="T36" i="2"/>
  <c r="R36" i="2"/>
  <c r="Q36" i="2"/>
  <c r="U35" i="2"/>
  <c r="T35" i="2"/>
  <c r="R35" i="2"/>
  <c r="Q35" i="2"/>
  <c r="U34" i="2"/>
  <c r="T34" i="2"/>
  <c r="R34" i="2"/>
  <c r="Q34" i="2"/>
  <c r="U33" i="2"/>
  <c r="T33" i="2"/>
  <c r="R33" i="2"/>
  <c r="Q33" i="2"/>
  <c r="U32" i="2"/>
  <c r="T32" i="2"/>
  <c r="R32" i="2"/>
  <c r="Q32" i="2"/>
  <c r="U31" i="2"/>
  <c r="T31" i="2"/>
  <c r="R31" i="2"/>
  <c r="Q31" i="2"/>
  <c r="U30" i="2"/>
  <c r="T30" i="2"/>
  <c r="R30" i="2"/>
  <c r="Q30" i="2"/>
  <c r="U29" i="2"/>
  <c r="T29" i="2"/>
  <c r="R29" i="2"/>
  <c r="Q29" i="2"/>
  <c r="U28" i="2"/>
  <c r="T28" i="2"/>
  <c r="T48" i="2"/>
  <c r="R28" i="2"/>
  <c r="Q28" i="2"/>
  <c r="L28" i="2"/>
  <c r="M28" i="2"/>
  <c r="O28" i="2"/>
  <c r="P28" i="2"/>
  <c r="L29" i="2"/>
  <c r="M29" i="2"/>
  <c r="O29" i="2"/>
  <c r="P29" i="2"/>
  <c r="L30" i="2"/>
  <c r="M30" i="2"/>
  <c r="O30" i="2"/>
  <c r="P30" i="2"/>
  <c r="L31" i="2"/>
  <c r="M31" i="2"/>
  <c r="O31" i="2"/>
  <c r="P31" i="2"/>
  <c r="L32" i="2"/>
  <c r="M32" i="2"/>
  <c r="O32" i="2"/>
  <c r="P32" i="2"/>
  <c r="L33" i="2"/>
  <c r="M33" i="2"/>
  <c r="O33" i="2"/>
  <c r="P33" i="2"/>
  <c r="L34" i="2"/>
  <c r="M34" i="2"/>
  <c r="O34" i="2"/>
  <c r="P34" i="2"/>
  <c r="L35" i="2"/>
  <c r="M35" i="2"/>
  <c r="O35" i="2"/>
  <c r="P35" i="2"/>
  <c r="L36" i="2"/>
  <c r="M36" i="2"/>
  <c r="O36" i="2"/>
  <c r="P36" i="2"/>
  <c r="L37" i="2"/>
  <c r="M37" i="2"/>
  <c r="O37" i="2"/>
  <c r="P37" i="2"/>
  <c r="L38" i="2"/>
  <c r="M38" i="2"/>
  <c r="O38" i="2"/>
  <c r="P38" i="2"/>
  <c r="L39" i="2"/>
  <c r="M39" i="2"/>
  <c r="O39" i="2"/>
  <c r="P39" i="2"/>
  <c r="L40" i="2"/>
  <c r="M40" i="2"/>
  <c r="O40" i="2"/>
  <c r="P40" i="2"/>
  <c r="L41" i="2"/>
  <c r="M41" i="2"/>
  <c r="O41" i="2"/>
  <c r="P41" i="2"/>
  <c r="L42" i="2"/>
  <c r="M42" i="2"/>
  <c r="O42" i="2"/>
  <c r="P42" i="2"/>
  <c r="L48" i="2"/>
  <c r="M48" i="2"/>
  <c r="O48" i="2"/>
  <c r="H42" i="2"/>
  <c r="H41" i="2"/>
  <c r="H40" i="2"/>
  <c r="H39" i="2"/>
  <c r="H38" i="2"/>
  <c r="H37" i="2"/>
  <c r="H36" i="2"/>
  <c r="H35" i="2"/>
  <c r="H34" i="2"/>
  <c r="H33" i="2"/>
  <c r="H32" i="2"/>
  <c r="H31" i="2"/>
  <c r="H30" i="2"/>
  <c r="H29" i="2"/>
  <c r="H28" i="2"/>
  <c r="K42" i="2"/>
  <c r="J42" i="2"/>
  <c r="G42" i="2"/>
  <c r="K41" i="2"/>
  <c r="J41" i="2"/>
  <c r="G41" i="2"/>
  <c r="K40" i="2"/>
  <c r="J40" i="2"/>
  <c r="G40" i="2"/>
  <c r="K39" i="2"/>
  <c r="J39" i="2"/>
  <c r="G39" i="2"/>
  <c r="K38" i="2"/>
  <c r="J38" i="2"/>
  <c r="G38" i="2"/>
  <c r="K37" i="2"/>
  <c r="J37" i="2"/>
  <c r="G37" i="2"/>
  <c r="K36" i="2"/>
  <c r="J36" i="2"/>
  <c r="G36" i="2"/>
  <c r="K35" i="2"/>
  <c r="J35" i="2"/>
  <c r="G35" i="2"/>
  <c r="K34" i="2"/>
  <c r="J34" i="2"/>
  <c r="G34" i="2"/>
  <c r="K33" i="2"/>
  <c r="J33" i="2"/>
  <c r="G33" i="2"/>
  <c r="K32" i="2"/>
  <c r="J32" i="2"/>
  <c r="G32" i="2"/>
  <c r="K31" i="2"/>
  <c r="J31" i="2"/>
  <c r="G31" i="2"/>
  <c r="K30" i="2"/>
  <c r="J30" i="2"/>
  <c r="G30" i="2"/>
  <c r="K29" i="2"/>
  <c r="J29" i="2"/>
  <c r="G29" i="2"/>
  <c r="K28" i="2"/>
  <c r="J28" i="2"/>
  <c r="G28" i="2"/>
  <c r="C42" i="2"/>
  <c r="C41" i="2"/>
  <c r="C40" i="2"/>
  <c r="C39" i="2"/>
  <c r="C38" i="2"/>
  <c r="C37" i="2"/>
  <c r="C36" i="2"/>
  <c r="C35" i="2"/>
  <c r="C34" i="2"/>
  <c r="C33" i="2"/>
  <c r="C32" i="2"/>
  <c r="C31" i="2"/>
  <c r="C30" i="2"/>
  <c r="C29" i="2"/>
  <c r="C28" i="2"/>
  <c r="F42" i="2" a="1"/>
  <c r="F42" i="2"/>
  <c r="F41" i="2" a="1"/>
  <c r="F41" i="2"/>
  <c r="F40" i="2" a="1"/>
  <c r="F40" i="2"/>
  <c r="F39" i="2" a="1"/>
  <c r="F39" i="2"/>
  <c r="F38" i="2" a="1"/>
  <c r="F38" i="2"/>
  <c r="F37" i="2" a="1"/>
  <c r="F37" i="2"/>
  <c r="F36" i="2" a="1"/>
  <c r="F36" i="2"/>
  <c r="F35" i="2" a="1"/>
  <c r="F35" i="2"/>
  <c r="F34" i="2" a="1"/>
  <c r="F34" i="2"/>
  <c r="F33" i="2" a="1"/>
  <c r="F33" i="2"/>
  <c r="F32" i="2" a="1"/>
  <c r="F32" i="2"/>
  <c r="F31" i="2" a="1"/>
  <c r="F31" i="2"/>
  <c r="F30" i="2" a="1"/>
  <c r="F30" i="2"/>
  <c r="F29" i="2" a="1"/>
  <c r="F29" i="2"/>
  <c r="F28" i="2" a="1"/>
  <c r="F28" i="2"/>
  <c r="E42" i="2" a="1"/>
  <c r="E42" i="2"/>
  <c r="E41" i="2" a="1"/>
  <c r="E41" i="2"/>
  <c r="E40" i="2" a="1"/>
  <c r="E40" i="2"/>
  <c r="E39" i="2" a="1"/>
  <c r="E39" i="2"/>
  <c r="E38" i="2" a="1"/>
  <c r="E38" i="2"/>
  <c r="E37" i="2" a="1"/>
  <c r="E37" i="2"/>
  <c r="E36" i="2" a="1"/>
  <c r="E36" i="2"/>
  <c r="E35" i="2" a="1"/>
  <c r="E35" i="2"/>
  <c r="E34" i="2" a="1"/>
  <c r="E34" i="2"/>
  <c r="E33" i="2" a="1"/>
  <c r="E33" i="2"/>
  <c r="E32" i="2" a="1"/>
  <c r="E32" i="2"/>
  <c r="E31" i="2" a="1"/>
  <c r="E31" i="2"/>
  <c r="E30" i="2" a="1"/>
  <c r="E30" i="2"/>
  <c r="E29" i="2" a="1"/>
  <c r="E29" i="2"/>
  <c r="E28" i="2" a="1"/>
  <c r="E28" i="2"/>
  <c r="B26" i="2"/>
  <c r="E27" i="2"/>
  <c r="B58" i="3"/>
  <c r="B57" i="3"/>
  <c r="B56" i="3"/>
  <c r="B55" i="3"/>
  <c r="B54" i="3"/>
  <c r="B1" i="3"/>
  <c r="B43" i="3"/>
  <c r="B42" i="3"/>
  <c r="B41" i="3"/>
  <c r="D40" i="3"/>
  <c r="C40" i="3"/>
  <c r="C88" i="2"/>
  <c r="C87" i="2"/>
  <c r="C86" i="2"/>
  <c r="C85" i="2"/>
  <c r="C84" i="2"/>
  <c r="C83" i="2"/>
  <c r="C82" i="2"/>
  <c r="C81" i="2"/>
  <c r="C80" i="2"/>
  <c r="C79" i="2"/>
  <c r="C78" i="2"/>
  <c r="C77" i="2"/>
  <c r="C76" i="2"/>
  <c r="D75" i="2"/>
  <c r="E75" i="2"/>
  <c r="F75" i="2"/>
  <c r="G75" i="2"/>
  <c r="H75" i="2"/>
  <c r="G82" i="3"/>
  <c r="U48" i="2"/>
  <c r="P48" i="2"/>
  <c r="Q48" i="2"/>
  <c r="C39" i="6"/>
  <c r="B15" i="7"/>
  <c r="D15" i="7"/>
  <c r="C15" i="7"/>
  <c r="B24" i="8"/>
  <c r="C24" i="8"/>
  <c r="B39" i="6"/>
  <c r="D39" i="6"/>
  <c r="B107" i="2"/>
  <c r="C57" i="3"/>
  <c r="B106" i="2"/>
  <c r="C56" i="3"/>
  <c r="B105" i="2"/>
  <c r="C55" i="3"/>
  <c r="B104" i="2" a="1"/>
  <c r="B104" i="2"/>
  <c r="C54" i="3"/>
  <c r="B99" i="2" a="1"/>
  <c r="B99" i="2"/>
  <c r="B98" i="2" a="1"/>
  <c r="B98" i="2"/>
  <c r="B100" i="2" a="1"/>
  <c r="B100" i="2"/>
  <c r="D29" i="3"/>
  <c r="D27" i="3"/>
  <c r="D16" i="3"/>
  <c r="D38" i="3"/>
  <c r="D15" i="3"/>
  <c r="D26" i="3"/>
  <c r="D37" i="3"/>
  <c r="D35" i="3"/>
  <c r="D28" i="3"/>
  <c r="D36" i="3"/>
  <c r="V48" i="2"/>
  <c r="R48" i="2"/>
  <c r="K48" i="2"/>
  <c r="H48" i="2"/>
  <c r="G48" i="2"/>
  <c r="J48" i="2"/>
  <c r="F9" i="3" a="1"/>
  <c r="F9" i="3"/>
  <c r="B27" i="2"/>
  <c r="C27" i="2"/>
  <c r="D27" i="2"/>
  <c r="G26" i="2"/>
  <c r="F27" i="2"/>
  <c r="C33" i="3" a="1"/>
  <c r="C33" i="3"/>
  <c r="F49" i="2"/>
  <c r="K49" i="2"/>
  <c r="L49" i="2"/>
  <c r="W49" i="2"/>
  <c r="C34" i="3" a="1"/>
  <c r="C34" i="3"/>
  <c r="B49" i="2" a="1"/>
  <c r="B49" i="2"/>
  <c r="G49" i="2"/>
  <c r="P49" i="2"/>
  <c r="U49" i="2"/>
  <c r="C49" i="2"/>
  <c r="H49" i="2"/>
  <c r="Q49" i="2"/>
  <c r="Z49" i="2"/>
  <c r="C32" i="3" a="1"/>
  <c r="C32" i="3"/>
  <c r="M49" i="2"/>
  <c r="R49" i="2"/>
  <c r="V49" i="2"/>
  <c r="C23" i="3" a="1"/>
  <c r="C23" i="3"/>
  <c r="D23" i="3"/>
  <c r="C24" i="3" a="1"/>
  <c r="C24" i="3"/>
  <c r="D24" i="3"/>
  <c r="C25" i="3" a="1"/>
  <c r="C25" i="3"/>
  <c r="D25" i="3"/>
  <c r="C19" i="3" a="1"/>
  <c r="C19" i="3"/>
  <c r="D19" i="3"/>
  <c r="C12" i="3" a="1"/>
  <c r="C12" i="3"/>
  <c r="D12" i="3"/>
  <c r="C13" i="3" a="1"/>
  <c r="C13" i="3"/>
  <c r="D13" i="3"/>
  <c r="C18" i="3" a="1"/>
  <c r="C18" i="3"/>
  <c r="D18" i="3"/>
  <c r="C14" i="3" a="1"/>
  <c r="C14" i="3"/>
  <c r="D14" i="3"/>
  <c r="F5" i="3"/>
  <c r="B108" i="2"/>
  <c r="C58" i="3"/>
  <c r="F6" i="3" a="1"/>
  <c r="F6" i="3"/>
  <c r="F8" i="3" a="1"/>
  <c r="F8" i="3"/>
  <c r="F82" i="3"/>
  <c r="C82" i="3"/>
  <c r="D82" i="3"/>
  <c r="E82" i="3"/>
  <c r="G8" i="3"/>
  <c r="F8" i="18"/>
  <c r="G6" i="3"/>
  <c r="F6" i="18"/>
  <c r="D34" i="3"/>
  <c r="D33" i="3"/>
  <c r="D32" i="3"/>
  <c r="C42" i="3"/>
  <c r="D42" i="3"/>
  <c r="C99" i="2"/>
  <c r="E16" i="3"/>
  <c r="G5" i="3"/>
  <c r="E15" i="3"/>
  <c r="J27" i="2"/>
  <c r="I27" i="2"/>
  <c r="H27" i="2"/>
  <c r="L26" i="2"/>
  <c r="K27" i="2"/>
  <c r="G27" i="2"/>
  <c r="C41" i="3"/>
  <c r="D41" i="3"/>
  <c r="C98" i="2"/>
  <c r="H87" i="3"/>
  <c r="H83" i="3"/>
  <c r="H86" i="3"/>
  <c r="H85" i="3"/>
  <c r="H84" i="3"/>
  <c r="E12" i="3"/>
  <c r="E14" i="3"/>
  <c r="E13" i="3"/>
  <c r="E19" i="3"/>
  <c r="E18" i="3"/>
  <c r="E64" i="2"/>
  <c r="D64" i="2"/>
  <c r="E63" i="2"/>
  <c r="D63" i="2"/>
  <c r="E62" i="2"/>
  <c r="D62" i="2"/>
  <c r="E61" i="2"/>
  <c r="D61" i="2"/>
  <c r="E60" i="2"/>
  <c r="D60" i="2"/>
  <c r="E54" i="2"/>
  <c r="D54" i="2"/>
  <c r="E53" i="2"/>
  <c r="D53" i="2"/>
  <c r="D52" i="2"/>
  <c r="E52" i="2"/>
  <c r="C27" i="8"/>
  <c r="C28" i="8"/>
  <c r="C29" i="8"/>
  <c r="N27" i="2"/>
  <c r="M27" i="2"/>
  <c r="P27" i="2"/>
  <c r="L27" i="2"/>
  <c r="E101" i="3"/>
  <c r="Q26" i="2"/>
  <c r="O27" i="2"/>
  <c r="B28" i="2"/>
  <c r="B29" i="2"/>
  <c r="B30" i="2"/>
  <c r="B31" i="2"/>
  <c r="B32" i="2"/>
  <c r="B33" i="2"/>
  <c r="B34" i="2"/>
  <c r="B35" i="2"/>
  <c r="B36" i="2"/>
  <c r="B37" i="2"/>
  <c r="B38" i="2"/>
  <c r="B39" i="2"/>
  <c r="B40" i="2"/>
  <c r="B41" i="2"/>
  <c r="B42" i="2"/>
  <c r="N101" i="3"/>
  <c r="H101" i="3"/>
  <c r="H102" i="3"/>
  <c r="E99" i="3"/>
  <c r="K99" i="3"/>
  <c r="K100" i="3"/>
  <c r="H100" i="3"/>
  <c r="N100" i="3"/>
  <c r="E100" i="3"/>
  <c r="K102" i="3"/>
  <c r="H99" i="3"/>
  <c r="K101" i="3"/>
  <c r="N99" i="3"/>
  <c r="N102" i="3"/>
  <c r="E102" i="3"/>
  <c r="C25" i="8"/>
  <c r="R27" i="2"/>
  <c r="U27" i="2"/>
  <c r="Q27" i="2"/>
  <c r="V26" i="2"/>
  <c r="T27" i="2"/>
  <c r="S27" i="2"/>
  <c r="C100" i="2"/>
  <c r="F48" i="2"/>
  <c r="C48" i="2"/>
  <c r="E48" i="2"/>
  <c r="B48" i="2"/>
  <c r="K107" i="3" a="1"/>
  <c r="K107" i="3"/>
  <c r="E10" i="18"/>
  <c r="H108" i="3"/>
  <c r="D11" i="18"/>
  <c r="H107" i="3" a="1"/>
  <c r="H107" i="3"/>
  <c r="D10" i="18"/>
  <c r="I101" i="3"/>
  <c r="O99" i="3"/>
  <c r="I102" i="3"/>
  <c r="L102" i="3"/>
  <c r="O100" i="3"/>
  <c r="L99" i="3"/>
  <c r="O101" i="3"/>
  <c r="L100" i="3"/>
  <c r="L101" i="3"/>
  <c r="I99" i="3"/>
  <c r="O102" i="3"/>
  <c r="I100" i="3"/>
  <c r="E66" i="3"/>
  <c r="H9" i="3"/>
  <c r="D9" i="18"/>
  <c r="D25" i="13"/>
  <c r="H7" i="3"/>
  <c r="D7" i="18"/>
  <c r="H6" i="3"/>
  <c r="D6" i="18"/>
  <c r="H8" i="3"/>
  <c r="D8" i="18"/>
  <c r="Z27" i="2"/>
  <c r="V27" i="2"/>
  <c r="Y27" i="2"/>
  <c r="X27" i="2"/>
  <c r="D99" i="3"/>
  <c r="W27" i="2"/>
  <c r="O5" i="3" a="1"/>
  <c r="N5" i="3" a="1"/>
  <c r="C43" i="3"/>
  <c r="D43" i="3"/>
  <c r="H5" i="3" a="1"/>
  <c r="H5" i="3"/>
  <c r="C20" i="3" a="1"/>
  <c r="C20" i="3"/>
  <c r="E20" i="3"/>
  <c r="M100" i="3"/>
  <c r="F99" i="3"/>
  <c r="M102" i="3"/>
  <c r="M99" i="3"/>
  <c r="F100" i="3"/>
  <c r="M101" i="3"/>
  <c r="O97" i="3"/>
  <c r="J100" i="3"/>
  <c r="G102" i="3"/>
  <c r="D101" i="3"/>
  <c r="J102" i="3"/>
  <c r="G100" i="3"/>
  <c r="F102" i="3"/>
  <c r="D102" i="3"/>
  <c r="J99" i="3"/>
  <c r="D100" i="3"/>
  <c r="J101" i="3"/>
  <c r="G99" i="3"/>
  <c r="F101" i="3"/>
  <c r="G101" i="3"/>
  <c r="L98" i="3"/>
  <c r="O96" i="3"/>
  <c r="L96" i="3"/>
  <c r="G95" i="3"/>
  <c r="D20" i="7"/>
  <c r="G94" i="3"/>
  <c r="N95" i="3"/>
  <c r="E95" i="3"/>
  <c r="E94" i="3"/>
  <c r="M96" i="3"/>
  <c r="D96" i="3"/>
  <c r="J98" i="3"/>
  <c r="H95" i="3"/>
  <c r="J94" i="3"/>
  <c r="F94" i="3"/>
  <c r="F95" i="3"/>
  <c r="M94" i="3"/>
  <c r="J97" i="3"/>
  <c r="B19" i="7"/>
  <c r="M98" i="3"/>
  <c r="G98" i="3"/>
  <c r="K96" i="3"/>
  <c r="H96" i="3"/>
  <c r="D95" i="3"/>
  <c r="D16" i="7"/>
  <c r="N96" i="3"/>
  <c r="G97" i="3"/>
  <c r="B20" i="7"/>
  <c r="K97" i="3"/>
  <c r="I98" i="3"/>
  <c r="I95" i="3"/>
  <c r="O94" i="3"/>
  <c r="H94" i="3"/>
  <c r="E98" i="3"/>
  <c r="N97" i="3"/>
  <c r="D98" i="3"/>
  <c r="K95" i="3"/>
  <c r="E96" i="3"/>
  <c r="M97" i="3"/>
  <c r="B18" i="7"/>
  <c r="M95" i="3"/>
  <c r="K94" i="3"/>
  <c r="E97" i="3"/>
  <c r="F96" i="3"/>
  <c r="I96" i="3"/>
  <c r="L94" i="3"/>
  <c r="O95" i="3"/>
  <c r="I94" i="3"/>
  <c r="F98" i="3"/>
  <c r="L95" i="3"/>
  <c r="L97" i="3"/>
  <c r="O98" i="3"/>
  <c r="I97" i="3"/>
  <c r="F97" i="3"/>
  <c r="J96" i="3"/>
  <c r="N94" i="3"/>
  <c r="D97" i="3"/>
  <c r="B16" i="7"/>
  <c r="N98" i="3"/>
  <c r="H97" i="3"/>
  <c r="J95" i="3"/>
  <c r="K98" i="3"/>
  <c r="G96" i="3"/>
  <c r="D94" i="3"/>
  <c r="H98" i="3"/>
  <c r="O9" i="3"/>
  <c r="I9" i="18"/>
  <c r="O6" i="3"/>
  <c r="I6" i="18"/>
  <c r="O8" i="3"/>
  <c r="I8" i="18"/>
  <c r="O7" i="3"/>
  <c r="O5" i="3"/>
  <c r="N9" i="3"/>
  <c r="N6" i="3"/>
  <c r="N5" i="3"/>
  <c r="N8" i="3"/>
  <c r="N7" i="3"/>
  <c r="D20" i="3"/>
  <c r="B25" i="8"/>
  <c r="C16" i="7"/>
  <c r="C19" i="7"/>
  <c r="B28" i="8"/>
  <c r="C20" i="7"/>
  <c r="B29" i="8"/>
  <c r="B43" i="6"/>
  <c r="D19" i="7"/>
  <c r="B42" i="6"/>
  <c r="D18" i="7"/>
  <c r="C18" i="7"/>
  <c r="B27" i="8"/>
  <c r="D44" i="6"/>
  <c r="D40" i="6"/>
  <c r="D42" i="6"/>
  <c r="D43" i="6"/>
  <c r="C40" i="6"/>
  <c r="C44" i="6"/>
  <c r="C43" i="6"/>
  <c r="B44" i="6"/>
  <c r="C42" i="6"/>
  <c r="B40" i="6"/>
  <c r="C76" i="3" a="1"/>
  <c r="C76" i="3"/>
  <c r="B54" i="2"/>
  <c r="E62" i="3"/>
  <c r="C74" i="3" a="1"/>
  <c r="C74" i="3"/>
  <c r="C75" i="3" a="1"/>
  <c r="C75" i="3"/>
  <c r="D15" i="6"/>
  <c r="C73" i="3" a="1"/>
  <c r="C73" i="3"/>
  <c r="E68" i="3"/>
  <c r="C17" i="3" a="1"/>
  <c r="C17" i="3"/>
  <c r="B53" i="2"/>
  <c r="B63" i="2"/>
  <c r="B60" i="2"/>
  <c r="B64" i="2"/>
  <c r="B61" i="2"/>
  <c r="B62" i="2"/>
  <c r="D51" i="3" a="1"/>
  <c r="D51" i="3"/>
  <c r="K5" i="3" a="1"/>
  <c r="K5" i="3"/>
  <c r="K9" i="3"/>
  <c r="E9" i="18"/>
  <c r="E17" i="3"/>
  <c r="E63" i="3"/>
  <c r="K7" i="3"/>
  <c r="D17" i="3"/>
  <c r="E64" i="3"/>
  <c r="D27" i="6"/>
  <c r="K8" i="3"/>
  <c r="E8" i="18"/>
  <c r="I107" i="3" a="1"/>
  <c r="I107" i="3"/>
  <c r="J107" i="3"/>
  <c r="G10" i="18"/>
  <c r="I108" i="3" a="1"/>
  <c r="I108" i="3"/>
  <c r="J108" i="3"/>
  <c r="G11" i="18"/>
  <c r="E69" i="3"/>
  <c r="K108" i="3" a="1"/>
  <c r="K108" i="3"/>
  <c r="E11" i="18"/>
  <c r="E7" i="18"/>
  <c r="C9" i="8"/>
  <c r="I7" i="3" a="1"/>
  <c r="I7" i="3"/>
  <c r="J7" i="3"/>
  <c r="E67" i="3"/>
  <c r="E65" i="3"/>
  <c r="E61" i="3"/>
  <c r="C27" i="6"/>
  <c r="K6" i="3"/>
  <c r="I5" i="3"/>
  <c r="J5" i="3"/>
  <c r="I8" i="3" a="1"/>
  <c r="I8" i="3"/>
  <c r="I6" i="3" a="1"/>
  <c r="I6" i="3"/>
  <c r="I9" i="3" a="1"/>
  <c r="I9" i="3"/>
  <c r="B9" i="8"/>
  <c r="G7" i="18"/>
  <c r="E6" i="18"/>
  <c r="J8" i="3"/>
  <c r="J6" i="3"/>
  <c r="B27" i="6"/>
  <c r="B26" i="8"/>
  <c r="G8" i="18"/>
  <c r="G6" i="18"/>
</calcChain>
</file>

<file path=xl/comments1.xml><?xml version="1.0" encoding="utf-8"?>
<comments xmlns="http://schemas.openxmlformats.org/spreadsheetml/2006/main">
  <authors>
    <author>ses3</author>
  </authors>
  <commentList>
    <comment ref="B7" authorId="0">
      <text>
        <r>
          <rPr>
            <b/>
            <sz val="9"/>
            <color indexed="81"/>
            <rFont val="Tahoma"/>
            <family val="2"/>
          </rPr>
          <t xml:space="preserve">ses3: </t>
        </r>
        <r>
          <rPr>
            <sz val="9"/>
            <color indexed="81"/>
            <rFont val="Tahoma"/>
            <family val="2"/>
          </rPr>
          <t xml:space="preserve">
Industry - Scooters/ 3 Wheelers</t>
        </r>
      </text>
    </comment>
    <comment ref="C7" authorId="0">
      <text>
        <r>
          <rPr>
            <b/>
            <sz val="9"/>
            <color indexed="81"/>
            <rFont val="Tahoma"/>
            <family val="2"/>
          </rPr>
          <t>ses3:</t>
        </r>
        <r>
          <rPr>
            <sz val="9"/>
            <color indexed="81"/>
            <rFont val="Tahoma"/>
            <family val="2"/>
          </rPr>
          <t xml:space="preserve">
Industry - Motorcycle/ Mopeds</t>
        </r>
      </text>
    </comment>
    <comment ref="D7" authorId="0">
      <text>
        <r>
          <rPr>
            <b/>
            <sz val="9"/>
            <color indexed="81"/>
            <rFont val="Tahoma"/>
            <family val="2"/>
          </rPr>
          <t>ses3:</t>
        </r>
        <r>
          <rPr>
            <sz val="9"/>
            <color indexed="81"/>
            <rFont val="Tahoma"/>
            <family val="2"/>
          </rPr>
          <t xml:space="preserve">
Industry - Motorcycle/ Mopeds</t>
        </r>
      </text>
    </comment>
    <comment ref="B10" authorId="0">
      <text>
        <r>
          <rPr>
            <b/>
            <sz val="9"/>
            <color indexed="81"/>
            <rFont val="Tahoma"/>
            <family val="2"/>
          </rPr>
          <t>ses3:</t>
        </r>
        <r>
          <rPr>
            <sz val="9"/>
            <color indexed="81"/>
            <rFont val="Tahoma"/>
            <family val="2"/>
          </rPr>
          <t xml:space="preserve">
Industry - Cars Passengers</t>
        </r>
      </text>
    </comment>
    <comment ref="C10" authorId="0">
      <text>
        <r>
          <rPr>
            <b/>
            <sz val="9"/>
            <color indexed="81"/>
            <rFont val="Tahoma"/>
            <family val="2"/>
          </rPr>
          <t>ses3:</t>
        </r>
        <r>
          <rPr>
            <sz val="9"/>
            <color indexed="81"/>
            <rFont val="Tahoma"/>
            <family val="2"/>
          </rPr>
          <t xml:space="preserve">
Industry - Automobiles (Tractors)</t>
        </r>
      </text>
    </comment>
    <comment ref="H23" authorId="0">
      <text>
        <r>
          <rPr>
            <b/>
            <sz val="9"/>
            <color indexed="81"/>
            <rFont val="Tahoma"/>
            <family val="2"/>
          </rPr>
          <t>ses3:</t>
        </r>
        <r>
          <rPr>
            <sz val="9"/>
            <color indexed="81"/>
            <rFont val="Tahoma"/>
            <family val="2"/>
          </rPr>
          <t xml:space="preserve">
Industry :Diversified - Mega</t>
        </r>
      </text>
    </comment>
    <comment ref="D28" authorId="0">
      <text>
        <r>
          <rPr>
            <b/>
            <sz val="9"/>
            <color indexed="81"/>
            <rFont val="Tahoma"/>
            <family val="2"/>
          </rPr>
          <t>ses3:</t>
        </r>
        <r>
          <rPr>
            <sz val="9"/>
            <color indexed="81"/>
            <rFont val="Tahoma"/>
            <family val="2"/>
          </rPr>
          <t xml:space="preserve">
Industry - Chlor-Alkali</t>
        </r>
      </text>
    </comment>
    <comment ref="E28" authorId="0">
      <text>
        <r>
          <rPr>
            <b/>
            <sz val="9"/>
            <color indexed="81"/>
            <rFont val="Tahoma"/>
            <family val="2"/>
          </rPr>
          <t>ses3:</t>
        </r>
        <r>
          <rPr>
            <sz val="9"/>
            <color indexed="81"/>
            <rFont val="Tahoma"/>
            <family val="2"/>
          </rPr>
          <t xml:space="preserve">
Industry - Chemicals - Speciality - Large</t>
        </r>
      </text>
    </comment>
    <comment ref="F28" authorId="0">
      <text>
        <r>
          <rPr>
            <b/>
            <sz val="9"/>
            <color indexed="81"/>
            <rFont val="Tahoma"/>
            <family val="2"/>
          </rPr>
          <t>ses3:</t>
        </r>
        <r>
          <rPr>
            <sz val="9"/>
            <color indexed="81"/>
            <rFont val="Tahoma"/>
            <family val="2"/>
          </rPr>
          <t xml:space="preserve">
Industry :Leather Chemicals</t>
        </r>
      </text>
    </comment>
    <comment ref="D34" authorId="0">
      <text>
        <r>
          <rPr>
            <b/>
            <sz val="9"/>
            <color indexed="81"/>
            <rFont val="Tahoma"/>
            <family val="2"/>
          </rPr>
          <t>ses3:</t>
        </r>
        <r>
          <rPr>
            <sz val="9"/>
            <color indexed="81"/>
            <rFont val="Tahoma"/>
            <family val="2"/>
          </rPr>
          <t xml:space="preserve">
Industry - Computers - Peripherals / Accessories</t>
        </r>
      </text>
    </comment>
    <comment ref="H37" authorId="0">
      <text>
        <r>
          <rPr>
            <b/>
            <sz val="9"/>
            <color indexed="81"/>
            <rFont val="Tahoma"/>
            <family val="2"/>
          </rPr>
          <t>ses3:</t>
        </r>
        <r>
          <rPr>
            <sz val="9"/>
            <color indexed="81"/>
            <rFont val="Tahoma"/>
            <family val="2"/>
          </rPr>
          <t xml:space="preserve">
Industry - Computers - Software - Converts</t>
        </r>
      </text>
    </comment>
    <comment ref="J39" authorId="0">
      <text>
        <r>
          <rPr>
            <b/>
            <sz val="9"/>
            <color indexed="81"/>
            <rFont val="Tahoma"/>
            <family val="2"/>
          </rPr>
          <t>ses3:</t>
        </r>
        <r>
          <rPr>
            <sz val="9"/>
            <color indexed="81"/>
            <rFont val="Tahoma"/>
            <family val="2"/>
          </rPr>
          <t xml:space="preserve">
Industry - Computers - Software - Converts</t>
        </r>
      </text>
    </comment>
    <comment ref="K39" authorId="0">
      <text>
        <r>
          <rPr>
            <b/>
            <sz val="9"/>
            <color indexed="81"/>
            <rFont val="Tahoma"/>
            <family val="2"/>
          </rPr>
          <t>ses3:</t>
        </r>
        <r>
          <rPr>
            <sz val="9"/>
            <color indexed="81"/>
            <rFont val="Tahoma"/>
            <family val="2"/>
          </rPr>
          <t xml:space="preserve">
Industry - Computers - Software - Converts</t>
        </r>
      </text>
    </comment>
    <comment ref="I68" authorId="0">
      <text>
        <r>
          <rPr>
            <b/>
            <sz val="9"/>
            <color indexed="81"/>
            <rFont val="Tahoma"/>
            <family val="2"/>
          </rPr>
          <t>ses3:</t>
        </r>
        <r>
          <rPr>
            <sz val="9"/>
            <color indexed="81"/>
            <rFont val="Tahoma"/>
            <family val="2"/>
          </rPr>
          <t xml:space="preserve">
Industry: Printing &amp; Stationery</t>
        </r>
      </text>
    </comment>
    <comment ref="F71" authorId="0">
      <text>
        <r>
          <rPr>
            <b/>
            <sz val="9"/>
            <color indexed="81"/>
            <rFont val="Tahoma"/>
            <family val="2"/>
          </rPr>
          <t>ses3:</t>
        </r>
        <r>
          <rPr>
            <sz val="9"/>
            <color indexed="81"/>
            <rFont val="Tahoma"/>
            <family val="2"/>
          </rPr>
          <t xml:space="preserve">
Industry - Finance - Leasing And Diversified</t>
        </r>
      </text>
    </comment>
    <comment ref="I72" authorId="0">
      <text>
        <r>
          <rPr>
            <b/>
            <sz val="9"/>
            <color indexed="81"/>
            <rFont val="Tahoma"/>
            <family val="2"/>
          </rPr>
          <t>ses3:</t>
        </r>
        <r>
          <rPr>
            <sz val="9"/>
            <color indexed="81"/>
            <rFont val="Tahoma"/>
            <family val="2"/>
          </rPr>
          <t xml:space="preserve">
Industry - Finance - Equipment - Leasing &amp; Maintenance</t>
        </r>
      </text>
    </comment>
    <comment ref="B76" authorId="0">
      <text>
        <r>
          <rPr>
            <b/>
            <sz val="9"/>
            <color indexed="81"/>
            <rFont val="Tahoma"/>
            <family val="2"/>
          </rPr>
          <t>ses3:</t>
        </r>
        <r>
          <rPr>
            <sz val="9"/>
            <color indexed="81"/>
            <rFont val="Tahoma"/>
            <family val="2"/>
          </rPr>
          <t xml:space="preserve">
Industry - Finance - Term-Lending Institutions</t>
        </r>
      </text>
    </comment>
    <comment ref="C76" authorId="0">
      <text>
        <r>
          <rPr>
            <b/>
            <sz val="9"/>
            <color indexed="81"/>
            <rFont val="Tahoma"/>
            <family val="2"/>
          </rPr>
          <t>ses3:</t>
        </r>
        <r>
          <rPr>
            <sz val="9"/>
            <color indexed="81"/>
            <rFont val="Tahoma"/>
            <family val="2"/>
          </rPr>
          <t xml:space="preserve">
Industry - Finance - Term-Lending Institutions</t>
        </r>
      </text>
    </comment>
    <comment ref="I81" authorId="0">
      <text>
        <r>
          <rPr>
            <b/>
            <sz val="9"/>
            <color indexed="81"/>
            <rFont val="Tahoma"/>
            <family val="2"/>
          </rPr>
          <t>ses3:</t>
        </r>
        <r>
          <rPr>
            <sz val="9"/>
            <color indexed="81"/>
            <rFont val="Tahoma"/>
            <family val="2"/>
          </rPr>
          <t xml:space="preserve">
Industry - Packaging - Polyester Film</t>
        </r>
      </text>
    </comment>
    <comment ref="G101" authorId="0">
      <text>
        <r>
          <rPr>
            <b/>
            <sz val="9"/>
            <color indexed="81"/>
            <rFont val="Tahoma"/>
            <family val="2"/>
          </rPr>
          <t>ses3:</t>
        </r>
        <r>
          <rPr>
            <sz val="9"/>
            <color indexed="81"/>
            <rFont val="Tahoma"/>
            <family val="2"/>
          </rPr>
          <t xml:space="preserve">
Industry :Coke / Metalurgical Coke</t>
        </r>
      </text>
    </comment>
    <comment ref="E107" authorId="0">
      <text>
        <r>
          <rPr>
            <b/>
            <sz val="9"/>
            <color indexed="81"/>
            <rFont val="Tahoma"/>
            <family val="2"/>
          </rPr>
          <t>ses3:</t>
        </r>
        <r>
          <rPr>
            <sz val="9"/>
            <color indexed="81"/>
            <rFont val="Tahoma"/>
            <family val="2"/>
          </rPr>
          <t xml:space="preserve">
Industry :Oil Drilling</t>
        </r>
      </text>
    </comment>
    <comment ref="F111" authorId="0">
      <text>
        <r>
          <rPr>
            <b/>
            <sz val="9"/>
            <color indexed="81"/>
            <rFont val="Tahoma"/>
            <family val="2"/>
          </rPr>
          <t>ses3:</t>
        </r>
        <r>
          <rPr>
            <sz val="9"/>
            <color indexed="81"/>
            <rFont val="Tahoma"/>
            <family val="2"/>
          </rPr>
          <t xml:space="preserve">
Industry :Detergents / Intermediates</t>
        </r>
      </text>
    </comment>
    <comment ref="G116" authorId="0">
      <text>
        <r>
          <rPr>
            <b/>
            <sz val="9"/>
            <color indexed="81"/>
            <rFont val="Tahoma"/>
            <family val="2"/>
          </rPr>
          <t>ses3:</t>
        </r>
        <r>
          <rPr>
            <sz val="9"/>
            <color indexed="81"/>
            <rFont val="Tahoma"/>
            <family val="2"/>
          </rPr>
          <t xml:space="preserve">
Industry :Biotechnology</t>
        </r>
      </text>
    </comment>
    <comment ref="H117" authorId="0">
      <text>
        <r>
          <rPr>
            <b/>
            <sz val="9"/>
            <color indexed="81"/>
            <rFont val="Tahoma"/>
            <family val="2"/>
          </rPr>
          <t>ses3:</t>
        </r>
        <r>
          <rPr>
            <sz val="9"/>
            <color indexed="81"/>
            <rFont val="Tahoma"/>
            <family val="2"/>
          </rPr>
          <t xml:space="preserve">
Industry :Miscellaneous - Medium / Small</t>
        </r>
      </text>
    </comment>
    <comment ref="F122" authorId="0">
      <text>
        <r>
          <rPr>
            <b/>
            <sz val="9"/>
            <color indexed="81"/>
            <rFont val="Tahoma"/>
            <family val="2"/>
          </rPr>
          <t>ses3:</t>
        </r>
        <r>
          <rPr>
            <sz val="9"/>
            <color indexed="81"/>
            <rFont val="Tahoma"/>
            <family val="2"/>
          </rPr>
          <t xml:space="preserve">
Industry :Moulded Luggage</t>
        </r>
      </text>
    </comment>
    <comment ref="B128" authorId="0">
      <text>
        <r>
          <rPr>
            <b/>
            <sz val="9"/>
            <color indexed="81"/>
            <rFont val="Tahoma"/>
            <family val="2"/>
          </rPr>
          <t>ses3:</t>
        </r>
        <r>
          <rPr>
            <sz val="9"/>
            <color indexed="81"/>
            <rFont val="Tahoma"/>
            <family val="2"/>
          </rPr>
          <t xml:space="preserve">
Industry :Miscellaneous - Medium / Small</t>
        </r>
      </text>
    </comment>
  </commentList>
</comments>
</file>

<file path=xl/sharedStrings.xml><?xml version="1.0" encoding="utf-8"?>
<sst xmlns="http://schemas.openxmlformats.org/spreadsheetml/2006/main" count="3731" uniqueCount="1463">
  <si>
    <t>Tenure</t>
  </si>
  <si>
    <t>Shares Held</t>
  </si>
  <si>
    <t>Director Information</t>
  </si>
  <si>
    <t>Director Remuneration</t>
  </si>
  <si>
    <t>Director Board Attendance</t>
  </si>
  <si>
    <t>Committee Memberships</t>
  </si>
  <si>
    <t>Committee Chairmanships</t>
  </si>
  <si>
    <t>Expertise</t>
  </si>
  <si>
    <t>Classification</t>
  </si>
  <si>
    <t>Additional Classification</t>
  </si>
  <si>
    <t>Audit Committee</t>
  </si>
  <si>
    <t xml:space="preserve">Investor Grievance </t>
  </si>
  <si>
    <t>Remuneration</t>
  </si>
  <si>
    <t>Nomination</t>
  </si>
  <si>
    <t>Appointment Date</t>
  </si>
  <si>
    <t>Resignation Date</t>
  </si>
  <si>
    <t>Audit Committee Attendance</t>
  </si>
  <si>
    <t>Nomination Committee Attendance</t>
  </si>
  <si>
    <t>Remuneration Committee Attendance</t>
  </si>
  <si>
    <t>Education</t>
  </si>
  <si>
    <t>Independent</t>
  </si>
  <si>
    <t>Executive</t>
  </si>
  <si>
    <t># Directors</t>
  </si>
  <si>
    <t>Meetings</t>
  </si>
  <si>
    <t>Board</t>
  </si>
  <si>
    <t>Investor Grievance Committee</t>
  </si>
  <si>
    <t>Remuneration Committee</t>
  </si>
  <si>
    <t>Nomination Committee</t>
  </si>
  <si>
    <t>2013 Variable Pay</t>
  </si>
  <si>
    <t>2013 Fixed Pay</t>
  </si>
  <si>
    <t>2012 Variable Pay</t>
  </si>
  <si>
    <t>2012 Fixed Pay</t>
  </si>
  <si>
    <t>2011 Variable Pay</t>
  </si>
  <si>
    <t>2011 Fixed Pay</t>
  </si>
  <si>
    <t>2010 Variable Pay</t>
  </si>
  <si>
    <t>2010 Fixed Pay</t>
  </si>
  <si>
    <t>2009 Variable Pay</t>
  </si>
  <si>
    <t>2009 Fixed Pay</t>
  </si>
  <si>
    <t>2013 Attended</t>
  </si>
  <si>
    <t>2013 Held</t>
  </si>
  <si>
    <t>2012 Attended</t>
  </si>
  <si>
    <t>2012 Held</t>
  </si>
  <si>
    <t>2011 Attended</t>
  </si>
  <si>
    <t>2011 Held</t>
  </si>
  <si>
    <t>2010 Attended</t>
  </si>
  <si>
    <t>2010 Held</t>
  </si>
  <si>
    <t>2009 Attended</t>
  </si>
  <si>
    <t>2009 Held</t>
  </si>
  <si>
    <t>Threshold Levels</t>
  </si>
  <si>
    <t>Shareholding</t>
  </si>
  <si>
    <t>ID tenure</t>
  </si>
  <si>
    <t>Directorship</t>
  </si>
  <si>
    <t>Other Committee Chairmanship</t>
  </si>
  <si>
    <t>Maximum Age</t>
  </si>
  <si>
    <t>Mininum Board Attendance</t>
  </si>
  <si>
    <t>Min Audit Committee Attendance</t>
  </si>
  <si>
    <t>Min Remuneration Committee Attendance</t>
  </si>
  <si>
    <t>Min Nomination Committee Attendance</t>
  </si>
  <si>
    <t># Members Resigned</t>
  </si>
  <si>
    <t>Board &amp; Board Committee</t>
  </si>
  <si>
    <t>Other Committee Membership</t>
  </si>
  <si>
    <t>Number</t>
  </si>
  <si>
    <t>Percentage</t>
  </si>
  <si>
    <t>Independent Directors</t>
  </si>
  <si>
    <t>Average Attendance</t>
  </si>
  <si>
    <t># Directors' Attendance Below Threshold</t>
  </si>
  <si>
    <t>Chairman AGM Attendance</t>
  </si>
  <si>
    <t>Directors ReClassification</t>
  </si>
  <si>
    <t>SES Classification</t>
  </si>
  <si>
    <t>ESOPs</t>
  </si>
  <si>
    <t>Company Classification</t>
  </si>
  <si>
    <t>Executive Directors</t>
  </si>
  <si>
    <t>Non-Executive Directors</t>
  </si>
  <si>
    <t>% of all IDs</t>
  </si>
  <si>
    <t>Above Threshold Directorships</t>
  </si>
  <si>
    <t>IDs above Threshold Tenure</t>
  </si>
  <si>
    <t>Above Threshold Committee Memberships</t>
  </si>
  <si>
    <t>Above Threshold Committee Chairmanships</t>
  </si>
  <si>
    <t># of IDs</t>
  </si>
  <si>
    <t>Percentage IDs</t>
  </si>
  <si>
    <t>Chairman Classification</t>
  </si>
  <si>
    <t>IDs SES Classification</t>
  </si>
  <si>
    <t>IDs Company Classification</t>
  </si>
  <si>
    <t>AGM</t>
  </si>
  <si>
    <t>Attendance</t>
  </si>
  <si>
    <t>Directors</t>
  </si>
  <si>
    <t>IDs with ESOPs</t>
  </si>
  <si>
    <t>IDs with other material relationships</t>
  </si>
  <si>
    <t>IDs with above Threshold Shareholding</t>
  </si>
  <si>
    <t>Remuneration Calculations</t>
  </si>
  <si>
    <t># Promoters</t>
  </si>
  <si>
    <t>5Y MD Remuneration</t>
  </si>
  <si>
    <t>5Y Average Promoter Remuneration</t>
  </si>
  <si>
    <t>5Y Promoter Chairman Remuneration</t>
  </si>
  <si>
    <t>Include for Calculations (0 /1)</t>
  </si>
  <si>
    <t>Total Pay</t>
  </si>
  <si>
    <t>Maximum Promoter Remuneration</t>
  </si>
  <si>
    <t>Minimum Promoter Remuneration</t>
  </si>
  <si>
    <t>Director</t>
  </si>
  <si>
    <t>Current Year Average ID Remuneration</t>
  </si>
  <si>
    <t>Current Year Average Promoter ED Remuneration</t>
  </si>
  <si>
    <t>Current Year Average Promoter NED Remuneration</t>
  </si>
  <si>
    <t>Current Year Average other ED Remuneration</t>
  </si>
  <si>
    <t>Current Year Average other NED Remuneration</t>
  </si>
  <si>
    <t>Maximum ED Promoter Remuneration</t>
  </si>
  <si>
    <t>Maximum NED Promoter Remuneration</t>
  </si>
  <si>
    <t>Maximum Other NED Remuneration</t>
  </si>
  <si>
    <t>Maximum Other ED Remuneration</t>
  </si>
  <si>
    <t>Directors Attendance Percentage Calculations</t>
  </si>
  <si>
    <t>Remuneration Discussions 1</t>
  </si>
  <si>
    <t>Remuneration Discussions 2</t>
  </si>
  <si>
    <t>Remuneration Discussions 3</t>
  </si>
  <si>
    <t>5Y CAGR</t>
  </si>
  <si>
    <t>5Y Increase Multiple</t>
  </si>
  <si>
    <t>Directors Remuneration Growth Distribution</t>
  </si>
  <si>
    <t>CAGR</t>
  </si>
  <si>
    <t>Directors Attendance Record</t>
  </si>
  <si>
    <t>Directors Classification</t>
  </si>
  <si>
    <t>Directors Details</t>
  </si>
  <si>
    <t>Board 2013</t>
  </si>
  <si>
    <t>Audit 2012</t>
  </si>
  <si>
    <t>Remuneration 2012</t>
  </si>
  <si>
    <t>Nomination 2012</t>
  </si>
  <si>
    <t>Appointed in AGM/EGM</t>
  </si>
  <si>
    <t xml:space="preserve">Age </t>
  </si>
  <si>
    <t>Other Information</t>
  </si>
  <si>
    <t>AGM Date</t>
  </si>
  <si>
    <t># of Outstanding Shares</t>
  </si>
  <si>
    <t>Annual results submission Date(To the Exchange)</t>
  </si>
  <si>
    <t>Other Pecuniary Relationship</t>
  </si>
  <si>
    <t>% Shareholding</t>
  </si>
  <si>
    <t>Net Profit(In Cr)</t>
  </si>
  <si>
    <t>Non Audit Fee as % of Total Auditors Remuneration</t>
  </si>
  <si>
    <t>5Y Net Profits</t>
  </si>
  <si>
    <t>Audit Fee (In Cr)</t>
  </si>
  <si>
    <t>Audit Related Fee (In Cr)</t>
  </si>
  <si>
    <t>Yearly Increase in Auditors Remuenration</t>
  </si>
  <si>
    <t>5Y Auditors Remuernation</t>
  </si>
  <si>
    <t>Loans / Guarantees</t>
  </si>
  <si>
    <t>Availed Loans</t>
  </si>
  <si>
    <t>Traded in Shares (SAST Reguations)</t>
  </si>
  <si>
    <t>Pledged Shares</t>
  </si>
  <si>
    <t>Not Appointed in General Meetings</t>
  </si>
  <si>
    <t>Shares Pledged by the promoter Directors</t>
  </si>
  <si>
    <t>Financially Literate</t>
  </si>
  <si>
    <t>Director's Name</t>
  </si>
  <si>
    <t>Current full-time position</t>
  </si>
  <si>
    <t>Past Experience</t>
  </si>
  <si>
    <t>Impact on Board Diversity</t>
  </si>
  <si>
    <t>SES’ Recommendation</t>
  </si>
  <si>
    <t>Directors’ Independence</t>
  </si>
  <si>
    <t>Criteria</t>
  </si>
  <si>
    <t>Current tenure at Company</t>
  </si>
  <si>
    <t>Total association with Company</t>
  </si>
  <si>
    <t>Current tenure at any group company</t>
  </si>
  <si>
    <t>Pecuniary relationships</t>
  </si>
  <si>
    <t>Nominee director</t>
  </si>
  <si>
    <t>Company Shareholding</t>
  </si>
  <si>
    <t>Grant of ESOPs</t>
  </si>
  <si>
    <t>Executive at group company</t>
  </si>
  <si>
    <t xml:space="preserve">Ex-promoter </t>
  </si>
  <si>
    <t>Ex-executive / Ex-CEO</t>
  </si>
  <si>
    <t>Variable Pay</t>
  </si>
  <si>
    <t>SES’ Classification</t>
  </si>
  <si>
    <t>Directors’ Time Commitments</t>
  </si>
  <si>
    <t xml:space="preserve">Total Directorships </t>
  </si>
  <si>
    <t>Total Committee memberships</t>
  </si>
  <si>
    <t>Total Committee Chairmanship</t>
  </si>
  <si>
    <t>Full time role/ executive position</t>
  </si>
  <si>
    <t>Note: committee memberships include committee chairmanships</t>
  </si>
  <si>
    <t>Directors’ Performance</t>
  </si>
  <si>
    <t>Attendance record</t>
  </si>
  <si>
    <t>Last 3 AGMs</t>
  </si>
  <si>
    <t>Board meetings held last year</t>
  </si>
  <si>
    <t>Board meetings in last 3 years (avg)</t>
  </si>
  <si>
    <t>Audit Committee meetings</t>
  </si>
  <si>
    <t>Nomination Committee meetings</t>
  </si>
  <si>
    <t>Remuneration Committee meetings</t>
  </si>
  <si>
    <t>Last 3 AGM Attendance</t>
  </si>
  <si>
    <t>Part of promoter group?</t>
  </si>
  <si>
    <t>Audit</t>
  </si>
  <si>
    <t>Audit-Related</t>
  </si>
  <si>
    <t>Non Audit</t>
  </si>
  <si>
    <t>FY 12/13</t>
  </si>
  <si>
    <t>FY 11/12</t>
  </si>
  <si>
    <t>FY 10/11</t>
  </si>
  <si>
    <t>FY 09/10</t>
  </si>
  <si>
    <t>FY 08/09</t>
  </si>
  <si>
    <t xml:space="preserve">Non Audit Fee </t>
  </si>
  <si>
    <t>Total Auditors Remuneration (In Cr)</t>
  </si>
  <si>
    <t>Industrialist</t>
  </si>
  <si>
    <t>General Management</t>
  </si>
  <si>
    <t>Economics</t>
  </si>
  <si>
    <t>Legal</t>
  </si>
  <si>
    <t>Industry Specialist</t>
  </si>
  <si>
    <t>Marketing</t>
  </si>
  <si>
    <t>Administrative</t>
  </si>
  <si>
    <t>Finance</t>
  </si>
  <si>
    <t>Banking</t>
  </si>
  <si>
    <t>IN</t>
  </si>
  <si>
    <t>IS</t>
  </si>
  <si>
    <t>MA</t>
  </si>
  <si>
    <t>GM</t>
  </si>
  <si>
    <t>AD</t>
  </si>
  <si>
    <t>FI</t>
  </si>
  <si>
    <t>AU</t>
  </si>
  <si>
    <t>LE</t>
  </si>
  <si>
    <t>EC</t>
  </si>
  <si>
    <t>Academics</t>
  </si>
  <si>
    <t>AC</t>
  </si>
  <si>
    <t>Abbreviation</t>
  </si>
  <si>
    <t>Current Tenure</t>
  </si>
  <si>
    <t>Memberships disclosed in Notice</t>
  </si>
  <si>
    <t>Traded in Company's shares (Last Fin Year)</t>
  </si>
  <si>
    <t xml:space="preserve"> </t>
  </si>
  <si>
    <t>Shareholding Pattern</t>
  </si>
  <si>
    <t>[]</t>
  </si>
  <si>
    <t>Promoter</t>
  </si>
  <si>
    <t>FII</t>
  </si>
  <si>
    <t>DII</t>
  </si>
  <si>
    <t>Revenue</t>
  </si>
  <si>
    <t>Others</t>
  </si>
  <si>
    <t>Other Income</t>
  </si>
  <si>
    <t>Total Income</t>
  </si>
  <si>
    <t>Public Sh</t>
  </si>
  <si>
    <t>Promoter Sh</t>
  </si>
  <si>
    <t>Name</t>
  </si>
  <si>
    <t>Dividend Pay-Out (%)</t>
  </si>
  <si>
    <t>TABLE 2 - MARKET DATA (AS ON [])</t>
  </si>
  <si>
    <t>TABLE 3: FINANCIAL INDICATORS (STANDALONE)</t>
  </si>
  <si>
    <t xml:space="preserve">Note: Fixed pay includes basic pay, perquisites &amp; allowances. </t>
  </si>
  <si>
    <t>Director Name</t>
  </si>
  <si>
    <t>Promoter Group</t>
  </si>
  <si>
    <t>Rem. Percentage (A/B * 100)</t>
  </si>
  <si>
    <t>Non-Promoter</t>
  </si>
  <si>
    <t>Non-Executive</t>
  </si>
  <si>
    <t>Fixed Pay</t>
  </si>
  <si>
    <t>PG 87</t>
  </si>
  <si>
    <t>PG 42</t>
  </si>
  <si>
    <t>PG 86</t>
  </si>
  <si>
    <t>PG 14</t>
  </si>
  <si>
    <t>PG 94</t>
  </si>
  <si>
    <t>PG 60</t>
  </si>
  <si>
    <t>PG 54</t>
  </si>
  <si>
    <t>PG 51</t>
  </si>
  <si>
    <t>PG 47</t>
  </si>
  <si>
    <t>PG 119</t>
  </si>
  <si>
    <t>PG 57</t>
  </si>
  <si>
    <t>PG 55</t>
  </si>
  <si>
    <t>PG 49</t>
  </si>
  <si>
    <t>PG 41</t>
  </si>
  <si>
    <t>PG 38</t>
  </si>
  <si>
    <t>PG 37</t>
  </si>
  <si>
    <t>PG 33</t>
  </si>
  <si>
    <t>PG 21</t>
  </si>
  <si>
    <t>PG 15</t>
  </si>
  <si>
    <t>PG 13</t>
  </si>
  <si>
    <t>PG 12</t>
  </si>
  <si>
    <t>PG 104</t>
  </si>
  <si>
    <t>PG 95</t>
  </si>
  <si>
    <t>PG 88</t>
  </si>
  <si>
    <t>PG 85</t>
  </si>
  <si>
    <t>PG 103</t>
  </si>
  <si>
    <t>PG 93</t>
  </si>
  <si>
    <t>PG 83</t>
  </si>
  <si>
    <t>PG 64</t>
  </si>
  <si>
    <t>PG 59</t>
  </si>
  <si>
    <t>PG 56</t>
  </si>
  <si>
    <t>PG 39</t>
  </si>
  <si>
    <t>PG 36</t>
  </si>
  <si>
    <t>PG 35</t>
  </si>
  <si>
    <t>PG 31</t>
  </si>
  <si>
    <t>PG 10</t>
  </si>
  <si>
    <t>PG 113</t>
  </si>
  <si>
    <t>PG 108</t>
  </si>
  <si>
    <t>PG 106</t>
  </si>
  <si>
    <t>PG 100</t>
  </si>
  <si>
    <t>PG 98</t>
  </si>
  <si>
    <t>PG 91</t>
  </si>
  <si>
    <t>PG 89</t>
  </si>
  <si>
    <t>PG 84</t>
  </si>
  <si>
    <t>PG 82</t>
  </si>
  <si>
    <t>PG 80</t>
  </si>
  <si>
    <t>PG 79</t>
  </si>
  <si>
    <t>PG 69</t>
  </si>
  <si>
    <t>PG 66</t>
  </si>
  <si>
    <t>PG 61</t>
  </si>
  <si>
    <t>PG 58</t>
  </si>
  <si>
    <t>PG 46</t>
  </si>
  <si>
    <t>PG 43</t>
  </si>
  <si>
    <t>PG 40</t>
  </si>
  <si>
    <t>PG 34</t>
  </si>
  <si>
    <t>PG 30</t>
  </si>
  <si>
    <t>PG 24</t>
  </si>
  <si>
    <t>PG 20</t>
  </si>
  <si>
    <t>PG 11</t>
  </si>
  <si>
    <t>PG 8</t>
  </si>
  <si>
    <t>PG 122</t>
  </si>
  <si>
    <t>PG 121</t>
  </si>
  <si>
    <t>PG 112</t>
  </si>
  <si>
    <t>PG 109</t>
  </si>
  <si>
    <t>PG 107</t>
  </si>
  <si>
    <t>PG 105</t>
  </si>
  <si>
    <t>PG 102</t>
  </si>
  <si>
    <t>PG 97</t>
  </si>
  <si>
    <t>PG 96</t>
  </si>
  <si>
    <t>PG 92</t>
  </si>
  <si>
    <t>PG 90</t>
  </si>
  <si>
    <t>PG 78</t>
  </si>
  <si>
    <t>PG 75</t>
  </si>
  <si>
    <t>PG 48</t>
  </si>
  <si>
    <t>PG 44</t>
  </si>
  <si>
    <t>PG 32</t>
  </si>
  <si>
    <t>PG 29</t>
  </si>
  <si>
    <t>PG 28</t>
  </si>
  <si>
    <t>PG 27</t>
  </si>
  <si>
    <t>PG 26</t>
  </si>
  <si>
    <t>PG 18</t>
  </si>
  <si>
    <t>PG 16</t>
  </si>
  <si>
    <t>PG 9</t>
  </si>
  <si>
    <t>PG 5</t>
  </si>
  <si>
    <t>PG 4</t>
  </si>
  <si>
    <t>PG 3</t>
  </si>
  <si>
    <t>PG 2</t>
  </si>
  <si>
    <t>PG 123</t>
  </si>
  <si>
    <t>PG 120</t>
  </si>
  <si>
    <t>PG 118</t>
  </si>
  <si>
    <t>PG 115</t>
  </si>
  <si>
    <t>PG 114</t>
  </si>
  <si>
    <t>PG 110</t>
  </si>
  <si>
    <t>PG 99</t>
  </si>
  <si>
    <t>PG 77</t>
  </si>
  <si>
    <t>PG 76</t>
  </si>
  <si>
    <t>PG 74</t>
  </si>
  <si>
    <t>PG 73</t>
  </si>
  <si>
    <t>PG 71</t>
  </si>
  <si>
    <t>PG 68</t>
  </si>
  <si>
    <t>PG 65</t>
  </si>
  <si>
    <t>PG 63</t>
  </si>
  <si>
    <t>PG 62</t>
  </si>
  <si>
    <t>PG 52</t>
  </si>
  <si>
    <t>PG 50</t>
  </si>
  <si>
    <t>PG 25</t>
  </si>
  <si>
    <t>PG 23</t>
  </si>
  <si>
    <t>PG 22</t>
  </si>
  <si>
    <t>PG 19</t>
  </si>
  <si>
    <t>PG 17</t>
  </si>
  <si>
    <t>PG 6</t>
  </si>
  <si>
    <t>ITC</t>
  </si>
  <si>
    <t>Hind. Unilever</t>
  </si>
  <si>
    <t>MRF</t>
  </si>
  <si>
    <t>Apollo Tyres</t>
  </si>
  <si>
    <t>Balkrishna Inds</t>
  </si>
  <si>
    <t>Vardhman Textile</t>
  </si>
  <si>
    <t>Alok Inds.</t>
  </si>
  <si>
    <t>Grasim Inds</t>
  </si>
  <si>
    <t>Aditya Bir. Nuv.</t>
  </si>
  <si>
    <t>Arvind Ltd</t>
  </si>
  <si>
    <t>Raymond</t>
  </si>
  <si>
    <t>Bombay Dyeing</t>
  </si>
  <si>
    <t>SRF</t>
  </si>
  <si>
    <t>Mandhana Indus</t>
  </si>
  <si>
    <t>JBF Inds.</t>
  </si>
  <si>
    <t>Page Industries</t>
  </si>
  <si>
    <t>Lovable Lingerie</t>
  </si>
  <si>
    <t>PG 117</t>
  </si>
  <si>
    <t>Lak. Mach. Works</t>
  </si>
  <si>
    <t>PG 116</t>
  </si>
  <si>
    <t>Cox &amp; Kings</t>
  </si>
  <si>
    <t>Allcargo Logist.</t>
  </si>
  <si>
    <t>Gateway Distr.</t>
  </si>
  <si>
    <t>Kalpataru Power</t>
  </si>
  <si>
    <t>K E C Intl.</t>
  </si>
  <si>
    <t>PTC India</t>
  </si>
  <si>
    <t>Rain Industries</t>
  </si>
  <si>
    <t>S T C</t>
  </si>
  <si>
    <t>Bombay Burmah</t>
  </si>
  <si>
    <t>Adani Enterp.</t>
  </si>
  <si>
    <t>MMTC</t>
  </si>
  <si>
    <t>3M India</t>
  </si>
  <si>
    <t>PG 111</t>
  </si>
  <si>
    <t>Bharti Infra.</t>
  </si>
  <si>
    <t>H F C L</t>
  </si>
  <si>
    <t>GTL Infra.</t>
  </si>
  <si>
    <t>Tata Tele. Mah.</t>
  </si>
  <si>
    <t>M T N L</t>
  </si>
  <si>
    <t>OnMobile Global</t>
  </si>
  <si>
    <t>Bharti Airtel</t>
  </si>
  <si>
    <t>Idea Cellular</t>
  </si>
  <si>
    <t>Rel. Comm.</t>
  </si>
  <si>
    <t>Tata Comm</t>
  </si>
  <si>
    <t>Tata Global</t>
  </si>
  <si>
    <t>Mcleod Russel</t>
  </si>
  <si>
    <t>Tata Coffee</t>
  </si>
  <si>
    <t>EID Parry</t>
  </si>
  <si>
    <t>Sh.Renuka Sugar</t>
  </si>
  <si>
    <t>Balrampur Chini</t>
  </si>
  <si>
    <t>Bajaj Hindusthan</t>
  </si>
  <si>
    <t>Mah. Seamless</t>
  </si>
  <si>
    <t>Welspun Corp</t>
  </si>
  <si>
    <t>Prakash Inds.</t>
  </si>
  <si>
    <t>Jindal Saw</t>
  </si>
  <si>
    <t>Electrosteel St.</t>
  </si>
  <si>
    <t>Uttam Galva</t>
  </si>
  <si>
    <t>Monnet Ispat</t>
  </si>
  <si>
    <t>Jindal Stain.</t>
  </si>
  <si>
    <t>Usha Martin</t>
  </si>
  <si>
    <t>Tata Steel</t>
  </si>
  <si>
    <t>S A I L</t>
  </si>
  <si>
    <t>Jindal Steel</t>
  </si>
  <si>
    <t>JSW Steel</t>
  </si>
  <si>
    <t>Bhushan Steel</t>
  </si>
  <si>
    <t>Agro Tech Foods.</t>
  </si>
  <si>
    <t>Ruchi Soya Inds.</t>
  </si>
  <si>
    <t>PG 101</t>
  </si>
  <si>
    <t>Mercator</t>
  </si>
  <si>
    <t>GE Shipping Co</t>
  </si>
  <si>
    <t>Pipavav Defence</t>
  </si>
  <si>
    <t>S C I</t>
  </si>
  <si>
    <t>ABG Shipyard</t>
  </si>
  <si>
    <t>Trent</t>
  </si>
  <si>
    <t>Shoppers St.</t>
  </si>
  <si>
    <t>Essar Oil</t>
  </si>
  <si>
    <t>H P C L</t>
  </si>
  <si>
    <t>M R P L</t>
  </si>
  <si>
    <t>C P C L</t>
  </si>
  <si>
    <t>Reliance Inds.</t>
  </si>
  <si>
    <t>I O C L</t>
  </si>
  <si>
    <t>B P C L</t>
  </si>
  <si>
    <t>Jagran Prakashan</t>
  </si>
  <si>
    <t>H T Media</t>
  </si>
  <si>
    <t>Navneet Educat.</t>
  </si>
  <si>
    <t>KSK Energy Ven.</t>
  </si>
  <si>
    <t>Indiabulls Power</t>
  </si>
  <si>
    <t>Lanco Infratech</t>
  </si>
  <si>
    <t>BF Utilities</t>
  </si>
  <si>
    <t>Reliance Infra.</t>
  </si>
  <si>
    <t>Adani Power</t>
  </si>
  <si>
    <t>Neyveli Lignite</t>
  </si>
  <si>
    <t>SJVN</t>
  </si>
  <si>
    <t>JSW Energy</t>
  </si>
  <si>
    <t>JP Power Ven.</t>
  </si>
  <si>
    <t>CESC</t>
  </si>
  <si>
    <t>Torrent Power</t>
  </si>
  <si>
    <t>NTPC</t>
  </si>
  <si>
    <t>Power Grid Corpn</t>
  </si>
  <si>
    <t>NHPC Ltd</t>
  </si>
  <si>
    <t>Reliance Power</t>
  </si>
  <si>
    <t>Tata Power Co.</t>
  </si>
  <si>
    <t>Essar Ports</t>
  </si>
  <si>
    <t>Guj Pipavav Port</t>
  </si>
  <si>
    <t>Jai Corp</t>
  </si>
  <si>
    <t>V I P Inds.</t>
  </si>
  <si>
    <t>Time Technoplast</t>
  </si>
  <si>
    <t>Sintex Inds.</t>
  </si>
  <si>
    <t>Supreme Inds.</t>
  </si>
  <si>
    <t>Jain Irrigation</t>
  </si>
  <si>
    <t>Finolex Inds.</t>
  </si>
  <si>
    <t>Sun Pharma.Inds.</t>
  </si>
  <si>
    <t>Dr Reddy's Labs</t>
  </si>
  <si>
    <t>Lupin</t>
  </si>
  <si>
    <t>Cipla</t>
  </si>
  <si>
    <t>Glaxosmit Pharma</t>
  </si>
  <si>
    <t>Ranbaxy Labs.</t>
  </si>
  <si>
    <t>Glenmark Pharma.</t>
  </si>
  <si>
    <t>Cadila Health.</t>
  </si>
  <si>
    <t>Divi's Lab.</t>
  </si>
  <si>
    <t>Piramal Enterp.</t>
  </si>
  <si>
    <t>Torrent Pharma.</t>
  </si>
  <si>
    <t>Biocon</t>
  </si>
  <si>
    <t>Aurobindo Pharma</t>
  </si>
  <si>
    <t>Sanofi India</t>
  </si>
  <si>
    <t>Strides Arcolab</t>
  </si>
  <si>
    <t>Wockhardt</t>
  </si>
  <si>
    <t>Pfizer</t>
  </si>
  <si>
    <t>SPARC</t>
  </si>
  <si>
    <t>Abbott India</t>
  </si>
  <si>
    <t>Ajanta Pharma</t>
  </si>
  <si>
    <t>Astrazeneca Phar</t>
  </si>
  <si>
    <t>Natco Pharma</t>
  </si>
  <si>
    <t>Unichem Labs.</t>
  </si>
  <si>
    <t>FDC</t>
  </si>
  <si>
    <t>Wyeth</t>
  </si>
  <si>
    <t>Jubilant Life</t>
  </si>
  <si>
    <t>Novartis India</t>
  </si>
  <si>
    <t>Claris Lifescien</t>
  </si>
  <si>
    <t>J B Chem &amp; Pharm</t>
  </si>
  <si>
    <t>Elder Pharma</t>
  </si>
  <si>
    <t>Dishman Pharma.</t>
  </si>
  <si>
    <t>Shasun Pharma.</t>
  </si>
  <si>
    <t>Orchid Chemicals</t>
  </si>
  <si>
    <t>Bayer Crop Sci.</t>
  </si>
  <si>
    <t>Rallis India</t>
  </si>
  <si>
    <t>P I Inds.</t>
  </si>
  <si>
    <t>Monsanto India</t>
  </si>
  <si>
    <t>Emami</t>
  </si>
  <si>
    <t>P &amp; G Hygiene</t>
  </si>
  <si>
    <t>Gillette India</t>
  </si>
  <si>
    <t>Bajaj Corp</t>
  </si>
  <si>
    <t>Jyothy Lab.</t>
  </si>
  <si>
    <t>Godrej Consumer</t>
  </si>
  <si>
    <t>Dabur India</t>
  </si>
  <si>
    <t>Colgate-Palm.</t>
  </si>
  <si>
    <t>Marico</t>
  </si>
  <si>
    <t>PG 81</t>
  </si>
  <si>
    <t>Uflex</t>
  </si>
  <si>
    <t>Rainbow Papers</t>
  </si>
  <si>
    <t>Orient Paper</t>
  </si>
  <si>
    <t>Ballarpur Inds.</t>
  </si>
  <si>
    <t>Asian Paints</t>
  </si>
  <si>
    <t>Berger Paints</t>
  </si>
  <si>
    <t>Kansai Nerolac</t>
  </si>
  <si>
    <t>Akzo Nobel</t>
  </si>
  <si>
    <t>O N G C</t>
  </si>
  <si>
    <t>Cairn India</t>
  </si>
  <si>
    <t>Oil India</t>
  </si>
  <si>
    <t>Aban Offshore</t>
  </si>
  <si>
    <t>Hind.Oil Explor.</t>
  </si>
  <si>
    <t>Guj NRE Coke</t>
  </si>
  <si>
    <t>Gravita India</t>
  </si>
  <si>
    <t>Coal India</t>
  </si>
  <si>
    <t>Sesa Sterlite</t>
  </si>
  <si>
    <t>NMDC</t>
  </si>
  <si>
    <t>MOIL</t>
  </si>
  <si>
    <t>G M D C</t>
  </si>
  <si>
    <t>Hind.Zinc</t>
  </si>
  <si>
    <t>Hind.Copper</t>
  </si>
  <si>
    <t>PG 72</t>
  </si>
  <si>
    <t>Opto Circuits</t>
  </si>
  <si>
    <t>Castrol India</t>
  </si>
  <si>
    <t>Gulf Oil Corpn.</t>
  </si>
  <si>
    <t>PG 70</t>
  </si>
  <si>
    <t>Guj Fluorochem</t>
  </si>
  <si>
    <t>Indian Hotels</t>
  </si>
  <si>
    <t>EIH</t>
  </si>
  <si>
    <t>Mahindra Holiday</t>
  </si>
  <si>
    <t>Hotel Leela Ven.</t>
  </si>
  <si>
    <t>Fortis Health.</t>
  </si>
  <si>
    <t>Apollo Hospitals</t>
  </si>
  <si>
    <t>PG 67</t>
  </si>
  <si>
    <t>Asahi India Glas</t>
  </si>
  <si>
    <t>Indraprastha Gas</t>
  </si>
  <si>
    <t>Guj Gas Company</t>
  </si>
  <si>
    <t>Guj.St.Petronet</t>
  </si>
  <si>
    <t>Linde India</t>
  </si>
  <si>
    <t>GAIL (India)</t>
  </si>
  <si>
    <t>Petronet LNG</t>
  </si>
  <si>
    <t>Rasoya Proteins</t>
  </si>
  <si>
    <t>Zydus Wellness</t>
  </si>
  <si>
    <t>Advanta India</t>
  </si>
  <si>
    <t>REI Agro</t>
  </si>
  <si>
    <t>Vikas Wsp</t>
  </si>
  <si>
    <t>Nestle India</t>
  </si>
  <si>
    <t>GlaxoSmith C H L</t>
  </si>
  <si>
    <t>Britannia Inds.</t>
  </si>
  <si>
    <t>Jubilant Food.</t>
  </si>
  <si>
    <t>Rural Elec.Corp.</t>
  </si>
  <si>
    <t>Power Fin.Corpn.</t>
  </si>
  <si>
    <t>I D F C</t>
  </si>
  <si>
    <t>IFCI</t>
  </si>
  <si>
    <t>JM Financial</t>
  </si>
  <si>
    <t>SKS Microfinance</t>
  </si>
  <si>
    <t>Capital First</t>
  </si>
  <si>
    <t>Motil.Oswal.Fin.</t>
  </si>
  <si>
    <t>JSW Holdings</t>
  </si>
  <si>
    <t>Religare Enterp.</t>
  </si>
  <si>
    <t>Muthoot Finance</t>
  </si>
  <si>
    <t>Netwrk.18 Media</t>
  </si>
  <si>
    <t>Edelweiss.Fin.</t>
  </si>
  <si>
    <t>Tata Inv.Corpn.</t>
  </si>
  <si>
    <t>M &amp; M Financial</t>
  </si>
  <si>
    <t>L&amp;T Fin.Holdings</t>
  </si>
  <si>
    <t>Bajaj Finserv</t>
  </si>
  <si>
    <t>Bajaj Holdings</t>
  </si>
  <si>
    <t>H D F C</t>
  </si>
  <si>
    <t>LIC Housing Fin.</t>
  </si>
  <si>
    <t>GRUH Finance</t>
  </si>
  <si>
    <t>Repco Home Fin</t>
  </si>
  <si>
    <t>Dewan Housing</t>
  </si>
  <si>
    <t>GIC Housing Fin</t>
  </si>
  <si>
    <t>Shriram Trans.</t>
  </si>
  <si>
    <t>Reliance Capital</t>
  </si>
  <si>
    <t>Bajaj Fin.</t>
  </si>
  <si>
    <t>Shri.City Union.</t>
  </si>
  <si>
    <t>Max India</t>
  </si>
  <si>
    <t>Chola. Invest.</t>
  </si>
  <si>
    <t>SE Investments</t>
  </si>
  <si>
    <t>Manappuram Fin.</t>
  </si>
  <si>
    <t>Magma Fincorp</t>
  </si>
  <si>
    <t>SREI Infra. Fin.</t>
  </si>
  <si>
    <t>Coromandel Inter</t>
  </si>
  <si>
    <t>Tata Chemicals</t>
  </si>
  <si>
    <t>G S F C</t>
  </si>
  <si>
    <t>R C F</t>
  </si>
  <si>
    <t>Chambal Fert.</t>
  </si>
  <si>
    <t>Natl.Fertilizer</t>
  </si>
  <si>
    <t>Deepak Fert.</t>
  </si>
  <si>
    <t>G N F C</t>
  </si>
  <si>
    <t>PG 53</t>
  </si>
  <si>
    <t>Zee Entertainmen</t>
  </si>
  <si>
    <t>Sun TV Network</t>
  </si>
  <si>
    <t>Dish TV</t>
  </si>
  <si>
    <t>D B Corp</t>
  </si>
  <si>
    <t>Hathway Cable</t>
  </si>
  <si>
    <t>TV18 Broadcast</t>
  </si>
  <si>
    <t>Den Networks</t>
  </si>
  <si>
    <t>PVR</t>
  </si>
  <si>
    <t>Ent.Network</t>
  </si>
  <si>
    <t>Siti Cable</t>
  </si>
  <si>
    <t>Prime Focus</t>
  </si>
  <si>
    <t>Eros Intl.Media</t>
  </si>
  <si>
    <t>Rajesh Exports</t>
  </si>
  <si>
    <t>PC Jeweller</t>
  </si>
  <si>
    <t>T B Z</t>
  </si>
  <si>
    <t>Gitanjali Gems</t>
  </si>
  <si>
    <t>Shree Gan.Jew.</t>
  </si>
  <si>
    <t>Cummins India</t>
  </si>
  <si>
    <t>Kirloskar Oil</t>
  </si>
  <si>
    <t>Greaves Cotton</t>
  </si>
  <si>
    <t>Rel. Indl. Infra</t>
  </si>
  <si>
    <t>IL&amp;FS Transport</t>
  </si>
  <si>
    <t>GVK Power Infra.</t>
  </si>
  <si>
    <t>GMR Infra.</t>
  </si>
  <si>
    <t>Engineers India</t>
  </si>
  <si>
    <t>BS</t>
  </si>
  <si>
    <t>BGR Energy Sys.</t>
  </si>
  <si>
    <t>Titagarh Wagons</t>
  </si>
  <si>
    <t>Texmaco Rail</t>
  </si>
  <si>
    <t>Praj Inds.</t>
  </si>
  <si>
    <t>BEML Ltd</t>
  </si>
  <si>
    <t>PG 45</t>
  </si>
  <si>
    <t>Graphite India</t>
  </si>
  <si>
    <t>B H E L</t>
  </si>
  <si>
    <t>Siemens</t>
  </si>
  <si>
    <t>A B B</t>
  </si>
  <si>
    <t>Havells India</t>
  </si>
  <si>
    <t>Thermax</t>
  </si>
  <si>
    <t>Crompton Greaves</t>
  </si>
  <si>
    <t>Alstom T&amp;D India</t>
  </si>
  <si>
    <t>ALSTOM India</t>
  </si>
  <si>
    <t>Triveni Turbine</t>
  </si>
  <si>
    <t>V-Guard Inds.</t>
  </si>
  <si>
    <t>Schneider Elect.</t>
  </si>
  <si>
    <t>Va Tech Wabag</t>
  </si>
  <si>
    <t>Techno Elec.</t>
  </si>
  <si>
    <t>Voltas</t>
  </si>
  <si>
    <t>Whirlpool India</t>
  </si>
  <si>
    <t>TTK Prestige</t>
  </si>
  <si>
    <t>Symphony</t>
  </si>
  <si>
    <t>Blue Star</t>
  </si>
  <si>
    <t>Bajaj Electrical</t>
  </si>
  <si>
    <t>Sunteck Realty</t>
  </si>
  <si>
    <t>H D I L</t>
  </si>
  <si>
    <t>Parsvnath Devl.</t>
  </si>
  <si>
    <t>Swan Energy</t>
  </si>
  <si>
    <t>DLF</t>
  </si>
  <si>
    <t>Oberoi Realty</t>
  </si>
  <si>
    <t>Prestige Estates</t>
  </si>
  <si>
    <t>Unitech</t>
  </si>
  <si>
    <t>Sobha Developer.</t>
  </si>
  <si>
    <t>Godrej Propert.</t>
  </si>
  <si>
    <t>Phoenix Mills</t>
  </si>
  <si>
    <t>Omaxe</t>
  </si>
  <si>
    <t>Puravankar.Proj.</t>
  </si>
  <si>
    <t>Era Infra Engg.</t>
  </si>
  <si>
    <t>Mahindra Life.</t>
  </si>
  <si>
    <t>Luminaire Tech.</t>
  </si>
  <si>
    <t>Delta Corp</t>
  </si>
  <si>
    <t>D B Realty</t>
  </si>
  <si>
    <t>Anant Raj</t>
  </si>
  <si>
    <t>Peninsula Land</t>
  </si>
  <si>
    <t>Brigade Enterpr.</t>
  </si>
  <si>
    <t>Kolte Patil Dev.</t>
  </si>
  <si>
    <t>JP Associates</t>
  </si>
  <si>
    <t>IRB Infra.Devl.</t>
  </si>
  <si>
    <t>Indbull.RealEst.</t>
  </si>
  <si>
    <t>Jaypee Infratec.</t>
  </si>
  <si>
    <t>Sadbhav Engg.</t>
  </si>
  <si>
    <t>Punj Lloyd</t>
  </si>
  <si>
    <t>Hind.Construct.</t>
  </si>
  <si>
    <t>NCC</t>
  </si>
  <si>
    <t>IVRCL</t>
  </si>
  <si>
    <t>Patel Engg.</t>
  </si>
  <si>
    <t>Tech Mahindra</t>
  </si>
  <si>
    <t>Oracle Fin.Serv.</t>
  </si>
  <si>
    <t>MphasiS</t>
  </si>
  <si>
    <t>Mindtree</t>
  </si>
  <si>
    <t>Indian Infotech</t>
  </si>
  <si>
    <t>Hexaware Tech.</t>
  </si>
  <si>
    <t>Vakrangee</t>
  </si>
  <si>
    <t>KPIT Tech.</t>
  </si>
  <si>
    <t>Persistent Sys</t>
  </si>
  <si>
    <t>eClerx Services</t>
  </si>
  <si>
    <t>NIIT Tech.</t>
  </si>
  <si>
    <t>Cressanda Solns.</t>
  </si>
  <si>
    <t>Polaris Finan.</t>
  </si>
  <si>
    <t>Tata Elxsi</t>
  </si>
  <si>
    <t>Geometric</t>
  </si>
  <si>
    <t>Ybrant Digital</t>
  </si>
  <si>
    <t>Infosys</t>
  </si>
  <si>
    <t>Wipro</t>
  </si>
  <si>
    <t>HCL Technologies</t>
  </si>
  <si>
    <t>CMC</t>
  </si>
  <si>
    <t>Redington India</t>
  </si>
  <si>
    <t>HCL Infosystems</t>
  </si>
  <si>
    <t>NIIT</t>
  </si>
  <si>
    <t>Educomp Sol.</t>
  </si>
  <si>
    <t>CORE Education</t>
  </si>
  <si>
    <t>Kirl. Brothers</t>
  </si>
  <si>
    <t>Ingersoll-Rand</t>
  </si>
  <si>
    <t>Elgi Equipment</t>
  </si>
  <si>
    <t>CRISIL</t>
  </si>
  <si>
    <t>Credit Analysis</t>
  </si>
  <si>
    <t>ICRA</t>
  </si>
  <si>
    <t>VST Inds.</t>
  </si>
  <si>
    <t>Godfrey Phillips</t>
  </si>
  <si>
    <t>Guj Alkalies</t>
  </si>
  <si>
    <t>Atul</t>
  </si>
  <si>
    <t>Pidilite Inds.</t>
  </si>
  <si>
    <t>Godrej Inds.</t>
  </si>
  <si>
    <t>Kajaria Ceramics</t>
  </si>
  <si>
    <t>HSIL</t>
  </si>
  <si>
    <t>The Ramco Cement</t>
  </si>
  <si>
    <t>Birla Corpn.</t>
  </si>
  <si>
    <t>India Cements</t>
  </si>
  <si>
    <t>Prism Cement</t>
  </si>
  <si>
    <t>J K Cements</t>
  </si>
  <si>
    <t>JK Lakshmi Cem.</t>
  </si>
  <si>
    <t>UltraTech Cem.</t>
  </si>
  <si>
    <t>Ambuja Cem.</t>
  </si>
  <si>
    <t>ACC</t>
  </si>
  <si>
    <t>Shree Cement</t>
  </si>
  <si>
    <t>Bharat Forge</t>
  </si>
  <si>
    <t>AIA Engg.</t>
  </si>
  <si>
    <t>Radico Khaitan</t>
  </si>
  <si>
    <t>Tilaknagar Inds.</t>
  </si>
  <si>
    <t>United Spirits</t>
  </si>
  <si>
    <t>United Breweries</t>
  </si>
  <si>
    <t>St Bk of India</t>
  </si>
  <si>
    <t>Bank of Baroda</t>
  </si>
  <si>
    <t>Punjab Natl.Bank</t>
  </si>
  <si>
    <t>Canara Bank</t>
  </si>
  <si>
    <t>Bank of India</t>
  </si>
  <si>
    <t>IDBI Bank</t>
  </si>
  <si>
    <t>Union Bank (I)</t>
  </si>
  <si>
    <t>South Ind.Bank</t>
  </si>
  <si>
    <t>City Union Bank</t>
  </si>
  <si>
    <t>Stand.Chart.PLC</t>
  </si>
  <si>
    <t>Karnataka Bank</t>
  </si>
  <si>
    <t>Lak. Vilas Bank</t>
  </si>
  <si>
    <t>Dhanlaxmi Bank</t>
  </si>
  <si>
    <t>Yes Bank</t>
  </si>
  <si>
    <t>ING Vysya Bank</t>
  </si>
  <si>
    <t>J &amp; K Bank</t>
  </si>
  <si>
    <t>Federal Bank</t>
  </si>
  <si>
    <t>HDFC Bank</t>
  </si>
  <si>
    <t>ICICI Bank</t>
  </si>
  <si>
    <t>Kotak Mah. Bank</t>
  </si>
  <si>
    <t>Axis Bank</t>
  </si>
  <si>
    <t>IndusInd Bank</t>
  </si>
  <si>
    <t>M &amp; M</t>
  </si>
  <si>
    <t>Maruti Suzuki</t>
  </si>
  <si>
    <t>Eicher Motors</t>
  </si>
  <si>
    <t>Ashok Leyland</t>
  </si>
  <si>
    <t>PG 7</t>
  </si>
  <si>
    <t>TVS Motor Co.</t>
  </si>
  <si>
    <t>Hero Motocorp</t>
  </si>
  <si>
    <t>Bajaj Auto</t>
  </si>
  <si>
    <t>Amara Raja Batt.</t>
  </si>
  <si>
    <t>Amtek Auto</t>
  </si>
  <si>
    <t>Exide Inds.</t>
  </si>
  <si>
    <t>Ess Dee Alumin.</t>
  </si>
  <si>
    <t>Jet Airways</t>
  </si>
  <si>
    <t>PG 1</t>
  </si>
  <si>
    <t>Carborundum Uni.</t>
  </si>
  <si>
    <t>Peer Group</t>
  </si>
  <si>
    <t>Code</t>
  </si>
  <si>
    <t>Peer Name</t>
  </si>
  <si>
    <t>Private_Shareholders</t>
  </si>
  <si>
    <t>Promoter_Shareholders</t>
  </si>
  <si>
    <t>Annual Financial Results</t>
  </si>
  <si>
    <t>Company_Information</t>
  </si>
  <si>
    <t>Balance Sheet from Moneycontrol</t>
  </si>
  <si>
    <t>Company</t>
  </si>
  <si>
    <t>Peer1</t>
  </si>
  <si>
    <t>Peer2</t>
  </si>
  <si>
    <t>--</t>
  </si>
  <si>
    <t>PBDT</t>
  </si>
  <si>
    <t>Net Profit</t>
  </si>
  <si>
    <t>EPS</t>
  </si>
  <si>
    <t>OPM %</t>
  </si>
  <si>
    <t>Year on Year Growth</t>
  </si>
  <si>
    <t>CAGR - CEO</t>
  </si>
  <si>
    <t>CAGR - TSR</t>
  </si>
  <si>
    <t>Market price at year start</t>
  </si>
  <si>
    <t>Market price at year end</t>
  </si>
  <si>
    <t>Dividend in the year</t>
  </si>
  <si>
    <t>Total Dividend</t>
  </si>
  <si>
    <t>Company Name</t>
  </si>
  <si>
    <t>Peer 1</t>
  </si>
  <si>
    <t>Peer 2</t>
  </si>
  <si>
    <t>Dividend</t>
  </si>
  <si>
    <t>Payout</t>
  </si>
  <si>
    <t>Expertise/ Specialization</t>
  </si>
  <si>
    <t>Tenure (Year)</t>
  </si>
  <si>
    <t>Pay</t>
  </si>
  <si>
    <t>TABLE 7 - BOARD PROFILE</t>
  </si>
  <si>
    <t>Committees</t>
  </si>
  <si>
    <t>Chairman’s classification</t>
  </si>
  <si>
    <t>Overall Independence</t>
  </si>
  <si>
    <t>Number of Meetings</t>
  </si>
  <si>
    <t>Attendance &lt; 75%</t>
  </si>
  <si>
    <t xml:space="preserve">Company </t>
  </si>
  <si>
    <t xml:space="preserve">SES </t>
  </si>
  <si>
    <t>SES</t>
  </si>
  <si>
    <t xml:space="preserve">Audit </t>
  </si>
  <si>
    <t xml:space="preserve">Remuneration </t>
  </si>
  <si>
    <t xml:space="preserve">Nomination </t>
  </si>
  <si>
    <t>TABLE 8 - BOARD COMMITTEE PERFORMANCE</t>
  </si>
  <si>
    <t>DISCUSSION</t>
  </si>
  <si>
    <t>Investors' Grievance</t>
  </si>
  <si>
    <t>Directors Up for Appointment</t>
  </si>
  <si>
    <t>NPM %</t>
  </si>
  <si>
    <t>In Crore</t>
  </si>
  <si>
    <t>Consulting</t>
  </si>
  <si>
    <t>CO</t>
  </si>
  <si>
    <t>Total Association</t>
  </si>
  <si>
    <t>Additional Comments</t>
  </si>
  <si>
    <t>PR</t>
  </si>
  <si>
    <t>IT</t>
  </si>
  <si>
    <t>Information Technology</t>
  </si>
  <si>
    <t>#</t>
  </si>
  <si>
    <t>ID</t>
  </si>
  <si>
    <t>C</t>
  </si>
  <si>
    <t>M</t>
  </si>
  <si>
    <t>N</t>
  </si>
  <si>
    <t>3/3</t>
  </si>
  <si>
    <t>OP</t>
  </si>
  <si>
    <t>2/3</t>
  </si>
  <si>
    <t>MD</t>
  </si>
  <si>
    <t>ED</t>
  </si>
  <si>
    <t/>
  </si>
  <si>
    <t>CA</t>
  </si>
  <si>
    <t>Human Resource</t>
  </si>
  <si>
    <t>HR</t>
  </si>
  <si>
    <t>Miscelleneous</t>
  </si>
  <si>
    <t>Operations</t>
  </si>
  <si>
    <t>No Expertise</t>
  </si>
  <si>
    <t>NA</t>
  </si>
  <si>
    <t>Regulatory</t>
  </si>
  <si>
    <t>RE</t>
  </si>
  <si>
    <t>Keki M.Mistry</t>
  </si>
  <si>
    <t>0-0-2000</t>
  </si>
  <si>
    <t>NEDP</t>
  </si>
  <si>
    <t>No Nomination Committee</t>
  </si>
  <si>
    <t>Renu Sud Karnad</t>
  </si>
  <si>
    <t>MA (Economics), LLB</t>
  </si>
  <si>
    <t>Aggregate salary of MD &amp; ED 1.41 Crore</t>
  </si>
  <si>
    <t>S.M Palia</t>
  </si>
  <si>
    <t>0-0-1993</t>
  </si>
  <si>
    <t>B.Com, LLB, CAIIB, CAIB</t>
  </si>
  <si>
    <t>Rohit C. Mehta</t>
  </si>
  <si>
    <t>0-0-1987</t>
  </si>
  <si>
    <t>0/3</t>
  </si>
  <si>
    <t>LLB</t>
  </si>
  <si>
    <t>Prafull Anubhai</t>
  </si>
  <si>
    <t>B.Sc.(Econ.), PMD</t>
  </si>
  <si>
    <t>K.G Krishnamurty</t>
  </si>
  <si>
    <t>0-0-2004</t>
  </si>
  <si>
    <t>B.E., MBA</t>
  </si>
  <si>
    <t>S.G Mankad</t>
  </si>
  <si>
    <t>0-0-2010</t>
  </si>
  <si>
    <t>MA (History)</t>
  </si>
  <si>
    <t>Kamlesh Shah</t>
  </si>
  <si>
    <t>Sudhin Choksey</t>
  </si>
  <si>
    <t>0-0-1996</t>
  </si>
  <si>
    <t>2014 Variable Pay</t>
  </si>
  <si>
    <t>2014 Fixed Pay</t>
  </si>
  <si>
    <t>2014 Attended</t>
  </si>
  <si>
    <t>2014 Held</t>
  </si>
  <si>
    <t>FY 13/14</t>
  </si>
  <si>
    <t xml:space="preserve"> 7,08,34,579</t>
  </si>
  <si>
    <t>Total</t>
  </si>
  <si>
    <t>Tel. :</t>
  </si>
  <si>
    <t>(A) Shareholding of Promoter and Promoter Group</t>
  </si>
  <si>
    <t>Fax. :</t>
  </si>
  <si>
    <t>(1) Indian</t>
  </si>
  <si>
    <t>Income Statement</t>
  </si>
  <si>
    <t>Bodies Corporate</t>
  </si>
  <si>
    <t>Sub Total</t>
  </si>
  <si>
    <t>(2) Foreign</t>
  </si>
  <si>
    <t>Total shareholding of Promoter and Promoter Group (A)</t>
  </si>
  <si>
    <t>Expenditure</t>
  </si>
  <si>
    <t>(B) Public Shareholding</t>
  </si>
  <si>
    <t>Interest</t>
  </si>
  <si>
    <t>(1) Institutions</t>
  </si>
  <si>
    <t>Mutual Funds / UTI</t>
  </si>
  <si>
    <t>Depreciation</t>
  </si>
  <si>
    <t>Financial Institutions / Banks</t>
  </si>
  <si>
    <t>PBT</t>
  </si>
  <si>
    <t>Foreign Institutional Investors</t>
  </si>
  <si>
    <t>Tax</t>
  </si>
  <si>
    <t>(2) Non-Institutions</t>
  </si>
  <si>
    <t>Equity</t>
  </si>
  <si>
    <t>Individuals</t>
  </si>
  <si>
    <t>CEPS</t>
  </si>
  <si>
    <t>Individual shareholders holding nominal share capital up to Rs. 1 lakh</t>
  </si>
  <si>
    <t>Individual shareholders holding nominal share capital in excess of Rs. 1 lakh</t>
  </si>
  <si>
    <t>Any Others (Specify)</t>
  </si>
  <si>
    <t>Detailed</t>
  </si>
  <si>
    <t>Non Resident Indians</t>
  </si>
  <si>
    <t>Total Public shareholding (B)</t>
  </si>
  <si>
    <t>Total (A)+(B)</t>
  </si>
  <si>
    <t>(C) Shares held by Custodians and against which Depository Receipts have been issued</t>
  </si>
  <si>
    <t>Bonus &amp; Dividends</t>
  </si>
  <si>
    <t>LTP</t>
  </si>
  <si>
    <t>Bonus History</t>
  </si>
  <si>
    <t>Can Fin Homes</t>
  </si>
  <si>
    <t xml:space="preserve">* check / confirm final dividend paid by the companies AND override </t>
  </si>
  <si>
    <t>Ipca Labs.</t>
  </si>
  <si>
    <t>PG 124</t>
  </si>
  <si>
    <t>Info Edg.(India)</t>
  </si>
  <si>
    <t>PG 125</t>
  </si>
  <si>
    <t>PG 126</t>
  </si>
  <si>
    <t>Future Retail</t>
  </si>
  <si>
    <t>PG 127</t>
  </si>
  <si>
    <t>PG 128</t>
  </si>
  <si>
    <t>Just Dial</t>
  </si>
  <si>
    <t>Karur Vysya Bank Ltd</t>
  </si>
  <si>
    <t>Sundaram Clayton</t>
  </si>
  <si>
    <t>PG 129</t>
  </si>
  <si>
    <t>Zuari Agro Chem.</t>
  </si>
  <si>
    <t>Jayaswal Neco</t>
  </si>
  <si>
    <t>Firstsour.Solu.</t>
  </si>
  <si>
    <t>Gammon India</t>
  </si>
  <si>
    <t>Indoco Remedies</t>
  </si>
  <si>
    <t>Blue Dart Exp.</t>
  </si>
  <si>
    <t>Century Enka</t>
  </si>
  <si>
    <t>Aarti Inds.</t>
  </si>
  <si>
    <t>Indian Metals</t>
  </si>
  <si>
    <t>Kewal Kir.Cloth.</t>
  </si>
  <si>
    <t>KSB Pumps</t>
  </si>
  <si>
    <t>Heritage Foods</t>
  </si>
  <si>
    <t>Ramco Inds.</t>
  </si>
  <si>
    <t>Inox Leisure</t>
  </si>
  <si>
    <t>Tata Sponge Iron</t>
  </si>
  <si>
    <t>Welspun India</t>
  </si>
  <si>
    <t>K C P</t>
  </si>
  <si>
    <t>PG 130</t>
  </si>
  <si>
    <t>PG 131</t>
  </si>
  <si>
    <t>PG 132</t>
  </si>
  <si>
    <t>PG 133</t>
  </si>
  <si>
    <t>PG 134</t>
  </si>
  <si>
    <t>PG 135</t>
  </si>
  <si>
    <t>PG 136</t>
  </si>
  <si>
    <t>PG 137</t>
  </si>
  <si>
    <t>PG 138</t>
  </si>
  <si>
    <t>Ador Welding</t>
  </si>
  <si>
    <t>Apar Inds.</t>
  </si>
  <si>
    <t>Tree House Edu.</t>
  </si>
  <si>
    <t>Future Lifestyle</t>
  </si>
  <si>
    <t>Ganesh Housing</t>
  </si>
  <si>
    <t>Ashoka Buildcon</t>
  </si>
  <si>
    <t>CEAT</t>
  </si>
  <si>
    <t>Guj Inds. Power</t>
  </si>
  <si>
    <t>Astral Poly</t>
  </si>
  <si>
    <t>Dhanuka Agritech</t>
  </si>
  <si>
    <t>Hikal</t>
  </si>
  <si>
    <t>Career Point</t>
  </si>
  <si>
    <t>CCL Products</t>
  </si>
  <si>
    <t>MT Educare</t>
  </si>
  <si>
    <t>MBL Infrast</t>
  </si>
  <si>
    <t>Mangalam Cement</t>
  </si>
  <si>
    <t>Merck</t>
  </si>
  <si>
    <t>Orient Cement</t>
  </si>
  <si>
    <t>Relaxo Footwear</t>
  </si>
  <si>
    <t>Sundaram Finance</t>
  </si>
  <si>
    <t>SEAMEC Ltd</t>
  </si>
  <si>
    <t>Shriram EPC</t>
  </si>
  <si>
    <t>SML ISUZU</t>
  </si>
  <si>
    <t>Hindustan Media</t>
  </si>
  <si>
    <t>IL&amp;FS Inv Manage</t>
  </si>
  <si>
    <t>Vesuvius India</t>
  </si>
  <si>
    <t>Speciality Rest.</t>
  </si>
  <si>
    <t>T N Newsprint</t>
  </si>
  <si>
    <t>West Coast Paper</t>
  </si>
  <si>
    <t>Astra Microwave</t>
  </si>
  <si>
    <t>Jyoti Structures</t>
  </si>
  <si>
    <t>Alembic Pharma</t>
  </si>
  <si>
    <t>Number of Directors</t>
  </si>
  <si>
    <t>Payout (RHS)</t>
  </si>
  <si>
    <t>EPS (LHS)</t>
  </si>
  <si>
    <t>Dividend (LHS)</t>
  </si>
  <si>
    <t>Indexed TSR (LHS)</t>
  </si>
  <si>
    <t>ME</t>
  </si>
  <si>
    <t>Media &amp; Entertainment</t>
  </si>
  <si>
    <t>Transportation</t>
  </si>
  <si>
    <t>TR</t>
  </si>
  <si>
    <t>Board 2014</t>
  </si>
  <si>
    <t>Audit 2014</t>
  </si>
  <si>
    <t>Remuneration 2014</t>
  </si>
  <si>
    <t>Nomination 2014</t>
  </si>
  <si>
    <t>Audit 2013</t>
  </si>
  <si>
    <t>Remuneration 2013</t>
  </si>
  <si>
    <t>Nomination 2013</t>
  </si>
  <si>
    <t>Accountancy</t>
  </si>
  <si>
    <r>
      <t xml:space="preserve">Note: Indexed TSR (Total Shareholders Return) represents the value of </t>
    </r>
    <r>
      <rPr>
        <sz val="8"/>
        <color rgb="FF000000"/>
        <rFont val="Rupee Foradian"/>
        <family val="2"/>
      </rPr>
      <t>`</t>
    </r>
    <r>
      <rPr>
        <i/>
        <sz val="8"/>
        <color rgb="FF000000"/>
        <rFont val="Calibri"/>
        <family val="2"/>
      </rPr>
      <t xml:space="preserve"> </t>
    </r>
    <r>
      <rPr>
        <i/>
        <sz val="8"/>
        <color rgb="FF000000"/>
        <rFont val="Calibri"/>
        <family val="2"/>
        <scheme val="minor"/>
      </rPr>
      <t>100 invested in the Company at beginning of a 5-year period starting 1 April 2009</t>
    </r>
    <r>
      <rPr>
        <sz val="8"/>
        <color rgb="FF000000"/>
        <rFont val="Calibri"/>
        <family val="2"/>
        <scheme val="minor"/>
      </rPr>
      <t>. One period return is calculated as (Final Price – Initial Price + Dividend) / Initial Price.</t>
    </r>
  </si>
  <si>
    <t>DISCUSSION - INDEXED TSR vs. EXECUTIVE REMUNERATION GROWTH</t>
  </si>
  <si>
    <t>Hospitality</t>
  </si>
  <si>
    <t>HO</t>
  </si>
  <si>
    <r>
      <t>[1]</t>
    </r>
    <r>
      <rPr>
        <b/>
        <sz val="9"/>
        <color rgb="FFFFFFFF"/>
        <rFont val="Calibri"/>
        <family val="2"/>
        <scheme val="minor"/>
      </rPr>
      <t xml:space="preserve"> Committee Membership</t>
    </r>
  </si>
  <si>
    <r>
      <t>[1]</t>
    </r>
    <r>
      <rPr>
        <i/>
        <sz val="8"/>
        <color rgb="FF000000"/>
        <rFont val="Calibri"/>
        <family val="2"/>
        <scheme val="minor"/>
      </rPr>
      <t>Committee memberships include committee chairmanships        Up - Director up for appointment/ reappointment</t>
    </r>
  </si>
  <si>
    <t>Grindwell Norton</t>
  </si>
  <si>
    <t>Gujarat Foils</t>
  </si>
  <si>
    <t>Hind Aluminium</t>
  </si>
  <si>
    <t>Force Motors</t>
  </si>
  <si>
    <t>Karur Vysya Bank</t>
  </si>
  <si>
    <t>DCB Bank</t>
  </si>
  <si>
    <t>Central Bank</t>
  </si>
  <si>
    <t>UCO Bank</t>
  </si>
  <si>
    <t>I O B</t>
  </si>
  <si>
    <t>Indian Bank</t>
  </si>
  <si>
    <t>Syndicate Bank</t>
  </si>
  <si>
    <t>Oriental Bank</t>
  </si>
  <si>
    <t>Corporation Bank</t>
  </si>
  <si>
    <t>Allahabad Bank</t>
  </si>
  <si>
    <t>Bank of Maha</t>
  </si>
  <si>
    <t>Vijaya Bank</t>
  </si>
  <si>
    <t>St Bk of Bikaner</t>
  </si>
  <si>
    <t>Andhra Bank</t>
  </si>
  <si>
    <t>Dena Bank</t>
  </si>
  <si>
    <t>United Bank (I)</t>
  </si>
  <si>
    <t>S B T</t>
  </si>
  <si>
    <t>St Bk of Mysore</t>
  </si>
  <si>
    <t>Pun. &amp; Sind Bank</t>
  </si>
  <si>
    <t>Som Distilleries</t>
  </si>
  <si>
    <t>Khoday India</t>
  </si>
  <si>
    <t>Ahmednagar Forg.</t>
  </si>
  <si>
    <t>Heidelberg Cem.</t>
  </si>
  <si>
    <t>OCL India</t>
  </si>
  <si>
    <t>Sanghi Inds.</t>
  </si>
  <si>
    <t>Star Ferro Cem.</t>
  </si>
  <si>
    <t>Indian Hume Pipe</t>
  </si>
  <si>
    <t>Sagar Cements</t>
  </si>
  <si>
    <t>Hil Ltd</t>
  </si>
  <si>
    <t>Udaipur Cement</t>
  </si>
  <si>
    <t>Cera Sanitary.</t>
  </si>
  <si>
    <t>Somany Ceramics</t>
  </si>
  <si>
    <t>Sudarshan Chem.</t>
  </si>
  <si>
    <t>Kirl.Pneumatic</t>
  </si>
  <si>
    <t>Zee Learn</t>
  </si>
  <si>
    <t>Aptech</t>
  </si>
  <si>
    <t>TCS</t>
  </si>
  <si>
    <t>Trans. India.Com</t>
  </si>
  <si>
    <t>Cyient</t>
  </si>
  <si>
    <t>Zensar Tech.</t>
  </si>
  <si>
    <t>Pine Animation</t>
  </si>
  <si>
    <t>Rolta India</t>
  </si>
  <si>
    <t>R S Software (I)</t>
  </si>
  <si>
    <t>SQS India BFSI</t>
  </si>
  <si>
    <t>Financial Tech.</t>
  </si>
  <si>
    <t>NBCC</t>
  </si>
  <si>
    <t>Simplex Infra</t>
  </si>
  <si>
    <t>ITD Cem</t>
  </si>
  <si>
    <t>Pratibha Inds.</t>
  </si>
  <si>
    <t>Larsen &amp; Toubro</t>
  </si>
  <si>
    <t>Gammon Infra.</t>
  </si>
  <si>
    <t>Tarang Projects</t>
  </si>
  <si>
    <t>Supreme Infra.</t>
  </si>
  <si>
    <t>McNally Bharat</t>
  </si>
  <si>
    <t>Nirlon</t>
  </si>
  <si>
    <t>J Kumar Infra</t>
  </si>
  <si>
    <t>Hubtown</t>
  </si>
  <si>
    <t>Man Infra</t>
  </si>
  <si>
    <t>Ashiana Housing</t>
  </si>
  <si>
    <t>Ansal Properties</t>
  </si>
  <si>
    <t>SRS Real</t>
  </si>
  <si>
    <t>Hawkins Cookers</t>
  </si>
  <si>
    <t>IFB Inds.</t>
  </si>
  <si>
    <t>Hitachi Home</t>
  </si>
  <si>
    <t>Lloyd Electric</t>
  </si>
  <si>
    <t>Fedders Lloyd</t>
  </si>
  <si>
    <t>ISGEC Heavy</t>
  </si>
  <si>
    <t>Disa India</t>
  </si>
  <si>
    <t>HEG</t>
  </si>
  <si>
    <t>Esab India</t>
  </si>
  <si>
    <t>Shakti Pumps</t>
  </si>
  <si>
    <t>Dynamatic Tech.</t>
  </si>
  <si>
    <t>Titan Company</t>
  </si>
  <si>
    <t>Vaibhav Global</t>
  </si>
  <si>
    <t>Asian Star Co.</t>
  </si>
  <si>
    <t>Shrenuj &amp; Co.</t>
  </si>
  <si>
    <t>Reliance Media</t>
  </si>
  <si>
    <t>Swaraj Engines</t>
  </si>
  <si>
    <t>T.V. Today Netw.</t>
  </si>
  <si>
    <t>Raj Television</t>
  </si>
  <si>
    <t>F A C T</t>
  </si>
  <si>
    <t>Mangalore Chem.</t>
  </si>
  <si>
    <t>PS IT Infra</t>
  </si>
  <si>
    <t>Goldline Intl.</t>
  </si>
  <si>
    <t>Greencrest Finan</t>
  </si>
  <si>
    <t>Surabhi Chemical</t>
  </si>
  <si>
    <t>Kailash Auto Fin</t>
  </si>
  <si>
    <t>Kamalakshi Fin</t>
  </si>
  <si>
    <t>Capri Global</t>
  </si>
  <si>
    <t>Balmer Law. Inv.</t>
  </si>
  <si>
    <t>Indiabulls Hous.</t>
  </si>
  <si>
    <t>PMC Fincorp</t>
  </si>
  <si>
    <t>Tilak Finance</t>
  </si>
  <si>
    <t>PTC India Fin</t>
  </si>
  <si>
    <t>Sulabh Engineers</t>
  </si>
  <si>
    <t>Kirl.Bros.Inv.</t>
  </si>
  <si>
    <t>Mangalam Industr</t>
  </si>
  <si>
    <t>GCM Securit.</t>
  </si>
  <si>
    <t>Kelvin Fincap</t>
  </si>
  <si>
    <t>Ojas Asset Recr</t>
  </si>
  <si>
    <t>Pilani Invest.</t>
  </si>
  <si>
    <t>Premier Cap Serv</t>
  </si>
  <si>
    <t>Indiabulls Sec.</t>
  </si>
  <si>
    <t>Jindal Poly Film</t>
  </si>
  <si>
    <t>Essel Propack</t>
  </si>
  <si>
    <t>Rollatainers</t>
  </si>
  <si>
    <t>Signet Indus.</t>
  </si>
  <si>
    <t>Flexituff Intl.</t>
  </si>
  <si>
    <t>Huhtamaki PPL</t>
  </si>
  <si>
    <t>Polyplex Corpn</t>
  </si>
  <si>
    <t>Hatsun AgroProd.</t>
  </si>
  <si>
    <t>KRBL</t>
  </si>
  <si>
    <t>Avanti Feeds</t>
  </si>
  <si>
    <t>Eco Friendly</t>
  </si>
  <si>
    <t>Kwality</t>
  </si>
  <si>
    <t>L T Foods</t>
  </si>
  <si>
    <t>Usher Agro</t>
  </si>
  <si>
    <t>Guj. Ambuja Exp</t>
  </si>
  <si>
    <t>Vimal Oil Foods</t>
  </si>
  <si>
    <t>Sanwaria Agro</t>
  </si>
  <si>
    <t>Gokul Refoils</t>
  </si>
  <si>
    <t>AVT Natural Prod</t>
  </si>
  <si>
    <t>Ruchi Infrastr.</t>
  </si>
  <si>
    <t>Ster. Holid. Res</t>
  </si>
  <si>
    <t>I T D C</t>
  </si>
  <si>
    <t>La Opala RG</t>
  </si>
  <si>
    <t>Hind.Natl.Glass</t>
  </si>
  <si>
    <t>Piramal Glass</t>
  </si>
  <si>
    <t>Poly Medicure</t>
  </si>
  <si>
    <t>Gulf Oil Lubrica</t>
  </si>
  <si>
    <t>Tide Water Oil</t>
  </si>
  <si>
    <t>Arcotech Ltd</t>
  </si>
  <si>
    <t>Tinplate Co.</t>
  </si>
  <si>
    <t>Manaksia</t>
  </si>
  <si>
    <t>Orissa Minerals</t>
  </si>
  <si>
    <t>Himadri Chemical</t>
  </si>
  <si>
    <t>Ashapura Minech.</t>
  </si>
  <si>
    <t>Sandur Manganese</t>
  </si>
  <si>
    <t>Shirpur Gold</t>
  </si>
  <si>
    <t>Maithan Alloys</t>
  </si>
  <si>
    <t>Balasore Alloys</t>
  </si>
  <si>
    <t>Ferro Alloys Cor</t>
  </si>
  <si>
    <t>Rohit Ferro Tec.</t>
  </si>
  <si>
    <t>Selan Expl. Tech</t>
  </si>
  <si>
    <t>Jindal Drilling</t>
  </si>
  <si>
    <t>Internat. Paper</t>
  </si>
  <si>
    <t>JK Paper</t>
  </si>
  <si>
    <t>UPL</t>
  </si>
  <si>
    <t>Excel Crop Care</t>
  </si>
  <si>
    <t>Insecticid.India</t>
  </si>
  <si>
    <t>Suven Life Scie.</t>
  </si>
  <si>
    <t>Marksans Pharma</t>
  </si>
  <si>
    <t>Shilpa Medicare</t>
  </si>
  <si>
    <t>Vinati Organics</t>
  </si>
  <si>
    <t>Granules India</t>
  </si>
  <si>
    <t>Sequent Scien.</t>
  </si>
  <si>
    <t>Alembic</t>
  </si>
  <si>
    <t>Aarti Drugs</t>
  </si>
  <si>
    <t>Fulford (India)</t>
  </si>
  <si>
    <t>Morepen Labs.</t>
  </si>
  <si>
    <t>Responsive Ind</t>
  </si>
  <si>
    <t>Mayur Uniquote</t>
  </si>
  <si>
    <t>Orient Green</t>
  </si>
  <si>
    <t>RattanIndia Infr</t>
  </si>
  <si>
    <t>Global Offshore</t>
  </si>
  <si>
    <t>Essar Shipping</t>
  </si>
  <si>
    <t>GOL Offshore</t>
  </si>
  <si>
    <t>MPS</t>
  </si>
  <si>
    <t>Kokuyo Camlin</t>
  </si>
  <si>
    <t>Ratnamani Metals</t>
  </si>
  <si>
    <t>M U S C O</t>
  </si>
  <si>
    <t>Gallantt Ispat</t>
  </si>
  <si>
    <t>Uttam Value Ste.</t>
  </si>
  <si>
    <t>Kirl. Ferrous</t>
  </si>
  <si>
    <t>Man Inds.</t>
  </si>
  <si>
    <t>Dalmia Bhar.</t>
  </si>
  <si>
    <t>Orient Refrac.</t>
  </si>
  <si>
    <t>Mahindra CIE</t>
  </si>
  <si>
    <t>Electrost.Cast.</t>
  </si>
  <si>
    <t>PG 139</t>
  </si>
  <si>
    <t>DCM Shriram Inds</t>
  </si>
  <si>
    <t>PG 140</t>
  </si>
  <si>
    <t>PG 141</t>
  </si>
  <si>
    <t>PG 142</t>
  </si>
  <si>
    <t>PG 143</t>
  </si>
  <si>
    <t>PG 144</t>
  </si>
  <si>
    <t>PG 145</t>
  </si>
  <si>
    <t>PG 146</t>
  </si>
  <si>
    <t>PG 147</t>
  </si>
  <si>
    <t>Visagar Polytex</t>
  </si>
  <si>
    <t>Pearl Electronic</t>
  </si>
  <si>
    <t>PG 148</t>
  </si>
  <si>
    <t>PG 149</t>
  </si>
  <si>
    <t>Gati</t>
  </si>
  <si>
    <t>Kaveri Seed Co.</t>
  </si>
  <si>
    <t>PG 150</t>
  </si>
  <si>
    <t>PG 151</t>
  </si>
  <si>
    <t>PG 152</t>
  </si>
  <si>
    <t>Bata India</t>
  </si>
  <si>
    <t>PG 153</t>
  </si>
  <si>
    <t>JK Tyre &amp; Indust</t>
  </si>
  <si>
    <t>JK Tyre &amp; Indus</t>
  </si>
  <si>
    <t>PG 154</t>
  </si>
  <si>
    <t>PG 155</t>
  </si>
  <si>
    <t>PG 156</t>
  </si>
  <si>
    <t>PG 157</t>
  </si>
  <si>
    <t>PG 158</t>
  </si>
  <si>
    <t>Trident</t>
  </si>
  <si>
    <t>PG 159</t>
  </si>
  <si>
    <t>Himatsing. Seide</t>
  </si>
  <si>
    <t>S Kumars Nation</t>
  </si>
  <si>
    <t>PG 160</t>
  </si>
  <si>
    <t>Century Textiles</t>
  </si>
  <si>
    <t>BASF India</t>
  </si>
  <si>
    <t>PG 161</t>
  </si>
  <si>
    <t>Videocon Inds.</t>
  </si>
  <si>
    <t>Honeywell Auto</t>
  </si>
  <si>
    <t>PG 162</t>
  </si>
  <si>
    <t>PG 163</t>
  </si>
  <si>
    <t>Bharat Electron</t>
  </si>
  <si>
    <t>India Infoline</t>
  </si>
  <si>
    <t>PG 164</t>
  </si>
  <si>
    <t>IIFL Holdings</t>
  </si>
  <si>
    <t>PG 165</t>
  </si>
  <si>
    <t>Venky's (India)</t>
  </si>
  <si>
    <t>Adani Ports</t>
  </si>
  <si>
    <t>PG 166</t>
  </si>
  <si>
    <t>Suzlon Energy</t>
  </si>
  <si>
    <t>PG 167</t>
  </si>
  <si>
    <t>TD Power Sys.</t>
  </si>
  <si>
    <t>Finolex Cables</t>
  </si>
  <si>
    <t>PG 168</t>
  </si>
  <si>
    <t>Sterlite Tech.</t>
  </si>
  <si>
    <t>PG 169</t>
  </si>
  <si>
    <t>PG 170</t>
  </si>
  <si>
    <t>Container Corpn.</t>
  </si>
  <si>
    <t>PG 171</t>
  </si>
  <si>
    <t>Thomas Cook (I)</t>
  </si>
  <si>
    <t>Dividend pay-out includes Dividend Distribution Tax. Source: BSE</t>
  </si>
  <si>
    <t>Source: Capitaline</t>
  </si>
  <si>
    <t>*Shares</t>
  </si>
  <si>
    <t>**PE Ratio</t>
  </si>
  <si>
    <t>PG 172</t>
  </si>
  <si>
    <t>SKF India</t>
  </si>
  <si>
    <t>Fag Bearings</t>
  </si>
  <si>
    <t>Timken India</t>
  </si>
  <si>
    <t>GRAPH 2 - BOARD PROFILE OF THE BOARD MEMBERS ON VARIOUS PARAMETERS IS AS UNDER:</t>
  </si>
  <si>
    <t>Total Diectorships</t>
  </si>
  <si>
    <t>Public Directorships</t>
  </si>
  <si>
    <t>&gt; 10</t>
  </si>
  <si>
    <t>&lt; 10</t>
  </si>
  <si>
    <t>Total Directoships</t>
  </si>
  <si>
    <t>&gt; 20</t>
  </si>
  <si>
    <t>&lt; 20</t>
  </si>
  <si>
    <t>Liable to retire by rotation</t>
  </si>
  <si>
    <t>NED</t>
  </si>
  <si>
    <t>Retired by Rotation</t>
  </si>
  <si>
    <t>Y</t>
  </si>
  <si>
    <t>Yes</t>
  </si>
  <si>
    <t>Retiring</t>
  </si>
  <si>
    <t>Non Retiring</t>
  </si>
  <si>
    <t>Response</t>
  </si>
  <si>
    <t>Score</t>
  </si>
  <si>
    <t>Maximum</t>
  </si>
  <si>
    <t>Total directors</t>
  </si>
  <si>
    <t>What is the percentage of Independent Directors on the Board?</t>
  </si>
  <si>
    <t>IDs</t>
  </si>
  <si>
    <t>How many Independent Directors have tenure greater than 10 years?</t>
  </si>
  <si>
    <t>IDs with tenure &gt;10 years</t>
  </si>
  <si>
    <t>IDs with company shareholding &gt; 1 Crore</t>
  </si>
  <si>
    <t>Is the Chairman Independent?</t>
  </si>
  <si>
    <t>Is the chairman Independent (Yes/No)</t>
  </si>
  <si>
    <t>Is there a Lead Independent Director?</t>
  </si>
  <si>
    <t>Is there a Lead Independent Director on the board (Yes/No)</t>
  </si>
  <si>
    <t>How many Independent Directors are ex-executive of the Company?</t>
  </si>
  <si>
    <t>Number of IDs who were an Ex-executive</t>
  </si>
  <si>
    <t>Have all directors been elected by the Company's shareholders?</t>
  </si>
  <si>
    <t>Are any directors on the Board related to each other?</t>
  </si>
  <si>
    <t>No</t>
  </si>
  <si>
    <t>Any director related to other directors</t>
  </si>
  <si>
    <t>How many promoter directors are on the Board?</t>
  </si>
  <si>
    <t>Number of Promoter directors</t>
  </si>
  <si>
    <t>Did Independent Directors meet atleast once without management?</t>
  </si>
  <si>
    <t>Did Indendent Directors meet without management? (Yes/No)</t>
  </si>
  <si>
    <t>$B$2:$J$38</t>
  </si>
  <si>
    <t>B2:I33</t>
  </si>
  <si>
    <t>[P/NP]</t>
  </si>
  <si>
    <t>MD (RHS)</t>
  </si>
  <si>
    <t>Registered Office Address</t>
  </si>
  <si>
    <t>Segment</t>
  </si>
  <si>
    <t>DEC</t>
  </si>
  <si>
    <t>MAR</t>
  </si>
  <si>
    <t>CSR</t>
  </si>
  <si>
    <t>Risk Management</t>
  </si>
  <si>
    <t>Clariant Chemicals</t>
  </si>
  <si>
    <t>CMD</t>
  </si>
  <si>
    <t>B2:I29</t>
  </si>
  <si>
    <t>Managing Director</t>
  </si>
  <si>
    <t>(in Cr.)</t>
  </si>
  <si>
    <t>Email :</t>
  </si>
  <si>
    <t>Consolidated</t>
  </si>
  <si>
    <t>Overseas Corporate Bodies</t>
  </si>
  <si>
    <t>TABLE 5: MAJOR PUBLIC SHAREHOLDERS (%) (MAR'15)</t>
  </si>
  <si>
    <t>TABLE 6: MAJOR PROMOTERS (%) (MAR'15)</t>
  </si>
  <si>
    <t>Reference: ID – Independent director, NED – Non-executive director, ED – Executive director, C – Chairman, P - Promoter, MD - Managing Director, R - Liable to retire by rotation</t>
  </si>
  <si>
    <t>2015 Variable Pay</t>
  </si>
  <si>
    <t>2015 Fixed Pay</t>
  </si>
  <si>
    <t>2015 Attended</t>
  </si>
  <si>
    <t>2015 Held</t>
  </si>
  <si>
    <t>FY 14/15</t>
  </si>
  <si>
    <t>TABLE 4: PEER COMPARISON (2015)</t>
  </si>
  <si>
    <t>SHAREHOLDING PATTERN (In %) (MARCH)</t>
  </si>
  <si>
    <t>**Based on EPS for FY 15</t>
  </si>
  <si>
    <t>Up</t>
  </si>
  <si>
    <t>Board 2015</t>
  </si>
  <si>
    <t>Listing Compny Directorships</t>
  </si>
  <si>
    <t>CSR Committee Attendance</t>
  </si>
  <si>
    <t>Risk Committee Attendance</t>
  </si>
  <si>
    <t>Board &amp; Board Committee (Added Separately)</t>
  </si>
  <si>
    <t>CSR Committee</t>
  </si>
  <si>
    <t>Risk Committee</t>
  </si>
  <si>
    <t>Directorships in Listed Compnies</t>
  </si>
  <si>
    <t>&gt; 7</t>
  </si>
  <si>
    <t>&lt; 7</t>
  </si>
  <si>
    <t>Board Independence (SES Classification)</t>
  </si>
  <si>
    <t>Committee Memberships/Chairmanships</t>
  </si>
  <si>
    <t>Compliant</t>
  </si>
  <si>
    <t>Non- Compliant</t>
  </si>
  <si>
    <t>Fill all the Orange Marked Cells in the unhidden sheets</t>
  </si>
  <si>
    <t>Input Sheet</t>
  </si>
  <si>
    <t>1. Input sheet is copied properly</t>
  </si>
  <si>
    <t>Template P4</t>
  </si>
  <si>
    <t>1. Appropriate Peers of the company are selected</t>
  </si>
  <si>
    <t>Template P1</t>
  </si>
  <si>
    <t>1. Table 2 is filled as on the current date</t>
  </si>
  <si>
    <t>2. Get data is run and the data input by the code is checked from BSE (For Table 3,4,5,6)</t>
  </si>
  <si>
    <t>3. Dividend is checked from the Annual reports both for the company and the Peers</t>
  </si>
  <si>
    <t>Template P2</t>
  </si>
  <si>
    <t>1. Directors Up for appointment are mentioned as Up in Table 'x1'</t>
  </si>
  <si>
    <t>2. Name of the directors up for appointment are mention in table 'x2'</t>
  </si>
  <si>
    <t>3. Table 7, the board profile is checked and appears correctly as per the input sheet</t>
  </si>
  <si>
    <t>4. The pie charts correctly depict the board profile</t>
  </si>
  <si>
    <t>Template P3</t>
  </si>
  <si>
    <t>1. Orange Marked cels in Table X3 are filled and are taken from the annual report/notice</t>
  </si>
  <si>
    <t>2. Orange cells in table x4 are filled and are taken from the annual report/notice</t>
  </si>
  <si>
    <t>3. Checked table 8 and table 9</t>
  </si>
  <si>
    <t>1. Filled the orange cells of Table x5</t>
  </si>
  <si>
    <t>2. Filled the orange cells of Table x6</t>
  </si>
  <si>
    <t>3. Checked the graphs, they how the data as per the calculated fileds</t>
  </si>
  <si>
    <t>4. Changed Table 9 to depice the remuneration of ED only</t>
  </si>
  <si>
    <t>Graphs</t>
  </si>
  <si>
    <t>Cheecked the dividend table for the company and its peers for each year. If not correct, fill it manually</t>
  </si>
  <si>
    <t>Deleted the name of all the directors and selecting the director up for appointment</t>
  </si>
  <si>
    <t>Checked other information are correctly taken from the input sheet</t>
  </si>
  <si>
    <t>Table x1</t>
  </si>
  <si>
    <t>Table x2</t>
  </si>
  <si>
    <t>Table x3</t>
  </si>
  <si>
    <t>Table x4</t>
  </si>
  <si>
    <t>TABLE 9 - BOARD GOVERNANCE SCORE</t>
  </si>
  <si>
    <t>TABLE 10 - EXECUTIVE DIRECTORS' REMUNERATION ANALYSIS</t>
  </si>
  <si>
    <t>TABLE 11- EXECUTIVE REMUNERATION - PEER COMPARISON</t>
  </si>
  <si>
    <t>Table x5</t>
  </si>
  <si>
    <t>Table x6</t>
  </si>
  <si>
    <r>
      <t>Price</t>
    </r>
    <r>
      <rPr>
        <b/>
        <sz val="10"/>
        <color rgb="FF000000"/>
        <rFont val="Calibri"/>
        <family val="2"/>
        <scheme val="minor"/>
      </rPr>
      <t xml:space="preserve"> </t>
    </r>
    <r>
      <rPr>
        <sz val="10"/>
        <color rgb="FF000000"/>
        <rFont val="Calibri"/>
        <family val="2"/>
        <scheme val="minor"/>
      </rPr>
      <t>(</t>
    </r>
    <r>
      <rPr>
        <sz val="10"/>
        <color rgb="FF000000"/>
        <rFont val="Calibri"/>
        <family val="2"/>
      </rPr>
      <t>₹</t>
    </r>
    <r>
      <rPr>
        <sz val="10"/>
        <color rgb="FF000000"/>
        <rFont val="Calibri"/>
        <family val="2"/>
        <scheme val="minor"/>
      </rPr>
      <t>)</t>
    </r>
  </si>
  <si>
    <r>
      <t>M Cap (₹</t>
    </r>
    <r>
      <rPr>
        <sz val="10"/>
        <color rgb="FF000000"/>
        <rFont val="Arial"/>
        <family val="2"/>
      </rPr>
      <t xml:space="preserve"> </t>
    </r>
    <r>
      <rPr>
        <sz val="10"/>
        <color rgb="FF000000"/>
        <rFont val="Calibri"/>
        <family val="2"/>
        <scheme val="minor"/>
      </rPr>
      <t>Cr.)</t>
    </r>
  </si>
  <si>
    <t>(In ₹ Crores)</t>
  </si>
  <si>
    <r>
      <t>Dividend/Share (₹</t>
    </r>
    <r>
      <rPr>
        <sz val="10"/>
        <color rgb="FF000000"/>
        <rFont val="Calibri"/>
        <family val="2"/>
      </rPr>
      <t>)</t>
    </r>
  </si>
  <si>
    <t>(₹ Lakh)</t>
  </si>
  <si>
    <t>In ₹ Crores</t>
  </si>
  <si>
    <t>Remuneration (₹ Crore) (A)</t>
  </si>
  <si>
    <t>Net Profits (₹ Crore) (B)</t>
  </si>
  <si>
    <t>How many Independent Directors have Shareholdings  &gt; ₹ 1 Cr?</t>
  </si>
  <si>
    <t>Auditors Information</t>
  </si>
  <si>
    <t>Auditor's Name</t>
  </si>
  <si>
    <t>Walker, Chandiok &amp; Co LLP</t>
  </si>
  <si>
    <t>Auditor's Parent Company</t>
  </si>
  <si>
    <t>-</t>
  </si>
  <si>
    <t>Auditor's Tenure</t>
  </si>
  <si>
    <t>Audit Partner's Name</t>
  </si>
  <si>
    <t>Amyn Jassani</t>
  </si>
  <si>
    <t>Audit Partner's Tenure</t>
  </si>
  <si>
    <t>B2:I36</t>
  </si>
  <si>
    <t>As per provisions of Section 149 and 152 of the Companies Act, 2013 Independent Directors shall not be liable to retire by rotation and unless provided by the Articles of the Company at least 2/3rd of the Non-Independent Directors should be liable to retire by rotation.</t>
  </si>
  <si>
    <t>As per Clause 49(ii)(A) of the Listing Agreement, the Company should have at least 33% Independent Directors if the Chairman of the Board is a Non-Executive Director and should have at least 50% independent directors if the Board Chairman is a promoter or an executive director.</t>
  </si>
  <si>
    <t>total directors</t>
  </si>
  <si>
    <t>ID as per SES:</t>
  </si>
  <si>
    <t>NID as per SES:</t>
  </si>
  <si>
    <t>NID as per Company:</t>
  </si>
  <si>
    <t>ID as per Company:</t>
  </si>
  <si>
    <t>Quarter Ending : March 2015</t>
  </si>
  <si>
    <t>Quarter Ending : March 2014</t>
  </si>
  <si>
    <t>Quarter Ending : March 2013</t>
  </si>
  <si>
    <t>Quarter Ending : March 2012</t>
  </si>
  <si>
    <t>Quarter Ending : March 2011</t>
  </si>
  <si>
    <t>Date End :   31 Mar 2015</t>
  </si>
  <si>
    <t>Date End :   31 Mar 2014</t>
  </si>
  <si>
    <t>Date End :   31 Mar 2013</t>
  </si>
  <si>
    <t>Date End :   31 Mar 2012</t>
  </si>
  <si>
    <t>Date End :   31 Mar 2011</t>
  </si>
  <si>
    <t>As a % of (A+B+C)</t>
  </si>
  <si>
    <t>(1) Promoter and Promoter Group</t>
  </si>
  <si>
    <t>ULTRACEMCO</t>
  </si>
  <si>
    <t>Additional Clasificatiion</t>
  </si>
  <si>
    <t>Committee</t>
  </si>
  <si>
    <t>Reference: ID – Independent director, NID – Non-Independent director, ED – Executive director, C – Chairman, P – Promoter, # - Number of Members</t>
  </si>
  <si>
    <t>Shareholding in Rs</t>
  </si>
  <si>
    <t>This column will give correct value only if the price of the share is added in Template 1</t>
  </si>
  <si>
    <t>*As on [Date]</t>
  </si>
  <si>
    <t>Life Insurance Corporation of India</t>
  </si>
  <si>
    <t>Kumar Mangalam Birla</t>
  </si>
  <si>
    <t>&amp;nbspO&amp;nbspP&amp;nbspPuranmalka</t>
  </si>
  <si>
    <t>Oppenheimer Developing Markets Fund</t>
  </si>
  <si>
    <t>Aditya Vikram Kumarmangalam Birla HUF</t>
  </si>
  <si>
    <t>&amp;nbspDilip &amp;nbspGaur</t>
  </si>
  <si>
    <t>Deputy Managing Director</t>
  </si>
  <si>
    <t>Aberdeen Global Emerging Markets Equity Fund</t>
  </si>
  <si>
    <t>Grasim Industries Ltd</t>
  </si>
  <si>
    <t>&amp;nbspSanjeeb &amp;nbspChatterjee</t>
  </si>
  <si>
    <t>Company Secretary</t>
  </si>
  <si>
    <t>Aberdeen Emerging Markets Fund</t>
  </si>
  <si>
    <t>Rajashree Birla</t>
  </si>
  <si>
    <t>&amp;nbspArun &amp;nbspAdhikari</t>
  </si>
  <si>
    <t>Independent Director</t>
  </si>
  <si>
    <t>Neerja Birla</t>
  </si>
  <si>
    <t>Individuals / Hindu Undivided Family</t>
  </si>
  <si>
    <t>&amp;nbspAtul &amp;nbspDaga</t>
  </si>
  <si>
    <t>Chief Financial Officer</t>
  </si>
  <si>
    <t>Vasavadatta Bajaj</t>
  </si>
  <si>
    <t>&amp;nbspMrs. Sukanya &amp;nbspKripalu</t>
  </si>
  <si>
    <t>Trapti Trading &amp; Investments Pvt Ltd</t>
  </si>
  <si>
    <t>&amp;nbspMrs. Renuka &amp;nbspRamnath</t>
  </si>
  <si>
    <t>Birla Group Holdings Pvt Ltd</t>
  </si>
  <si>
    <t>Turquoise Investments And Finance Pvt Ltd</t>
  </si>
  <si>
    <t>Hindalco Industries Ltd</t>
  </si>
  <si>
    <t>Ahura Centre B Wing, 2nd Floor Mahakali Caves Road Andheri East ,Mumbai ,Maharashtra ,400093</t>
  </si>
  <si>
    <t>Rajratna Holdings Pvt Ltd</t>
  </si>
  <si>
    <t>022-66917800,</t>
  </si>
  <si>
    <t>Vaibhav Holdings Pvt Ltd</t>
  </si>
  <si>
    <t>022-66928109,</t>
  </si>
  <si>
    <t>Vikram Holding Pvt Ltd</t>
  </si>
  <si>
    <t>sharesutcl@adityabirla.com</t>
  </si>
  <si>
    <t>Central Government / State Government(s)</t>
  </si>
  <si>
    <t>Insurance Companies</t>
  </si>
  <si>
    <t>Foreign Nationals</t>
  </si>
  <si>
    <t>Foreign Banks</t>
  </si>
  <si>
    <t>AMBUJACEM</t>
  </si>
  <si>
    <t>CENTURYTEX</t>
  </si>
</sst>
</file>

<file path=xl/styles.xml><?xml version="1.0" encoding="utf-8"?>
<styleSheet xmlns="http://schemas.openxmlformats.org/spreadsheetml/2006/main" xmlns:mc="http://schemas.openxmlformats.org/markup-compatibility/2006" xmlns:x14ac="http://schemas.microsoft.com/office/spreadsheetml/2009/9/ac" mc:Ignorable="x14ac">
  <numFmts count="12">
    <numFmt numFmtId="164" formatCode="_ * #,##0.00_ ;_ * \-#,##0.00_ ;_ * &quot;-&quot;??_ ;_ @_ "/>
    <numFmt numFmtId="165" formatCode="_ * #,##0_ ;_ * \-#,##0_ ;_ * &quot;-&quot;??_ ;_ @_ "/>
    <numFmt numFmtId="166" formatCode="#,##0&quot; Years&quot;"/>
    <numFmt numFmtId="167" formatCode="#,##0&quot; Boards&quot;"/>
    <numFmt numFmtId="168" formatCode="0.0%"/>
    <numFmt numFmtId="169" formatCode="_ * #,##0.0000_ ;_ * \-#,##0.0000_ ;_ * &quot;-&quot;??_ ;_ @_ "/>
    <numFmt numFmtId="170" formatCode="#,##0.0000"/>
    <numFmt numFmtId="171" formatCode="&quot;₹&quot;\ #,##0.00\ \C\r"/>
    <numFmt numFmtId="172" formatCode="&quot;₹&quot;\ #,##0.00"/>
    <numFmt numFmtId="173" formatCode="[$-409]d\-mmm\-yy;@"/>
    <numFmt numFmtId="174" formatCode="_ * #,##0.000000000_ ;_ * \-#,##0.000000000_ ;_ * &quot;-&quot;??_ ;_ @_ "/>
    <numFmt numFmtId="175" formatCode="0.0000"/>
  </numFmts>
  <fonts count="45" x14ac:knownFonts="1">
    <font>
      <sz val="11"/>
      <color theme="1"/>
      <name val="Calibri"/>
      <family val="2"/>
      <scheme val="minor"/>
    </font>
    <font>
      <sz val="11"/>
      <color theme="1"/>
      <name val="Calibri"/>
      <family val="2"/>
      <scheme val="minor"/>
    </font>
    <font>
      <sz val="9"/>
      <color theme="1"/>
      <name val="Calibri"/>
      <family val="2"/>
      <scheme val="minor"/>
    </font>
    <font>
      <b/>
      <sz val="9"/>
      <color theme="1"/>
      <name val="Calibri"/>
      <family val="2"/>
      <scheme val="minor"/>
    </font>
    <font>
      <b/>
      <sz val="11"/>
      <color rgb="FF0000FF"/>
      <name val="Calibri"/>
      <family val="2"/>
      <scheme val="minor"/>
    </font>
    <font>
      <b/>
      <sz val="9"/>
      <color theme="0"/>
      <name val="Calibri"/>
      <family val="2"/>
      <scheme val="minor"/>
    </font>
    <font>
      <sz val="10"/>
      <color theme="1"/>
      <name val="Calibri"/>
      <family val="2"/>
      <scheme val="minor"/>
    </font>
    <font>
      <b/>
      <sz val="10"/>
      <color rgb="FFFFFFFF"/>
      <name val="Calibri"/>
      <family val="2"/>
      <scheme val="minor"/>
    </font>
    <font>
      <sz val="10"/>
      <color rgb="FF000000"/>
      <name val="Calibri"/>
      <family val="2"/>
      <scheme val="minor"/>
    </font>
    <font>
      <b/>
      <sz val="10"/>
      <color rgb="FF000000"/>
      <name val="Calibri"/>
      <family val="2"/>
      <scheme val="minor"/>
    </font>
    <font>
      <b/>
      <sz val="10"/>
      <color theme="1"/>
      <name val="Calibri"/>
      <family val="2"/>
      <scheme val="minor"/>
    </font>
    <font>
      <b/>
      <sz val="10"/>
      <color rgb="FF464646"/>
      <name val="Calibri"/>
      <family val="2"/>
      <scheme val="minor"/>
    </font>
    <font>
      <b/>
      <sz val="10"/>
      <color theme="3"/>
      <name val="Calibri"/>
      <family val="2"/>
      <scheme val="minor"/>
    </font>
    <font>
      <b/>
      <sz val="10"/>
      <color rgb="FFC00000"/>
      <name val="Calibri"/>
      <family val="2"/>
      <scheme val="minor"/>
    </font>
    <font>
      <sz val="16"/>
      <color theme="1"/>
      <name val="Calibri"/>
      <family val="2"/>
      <scheme val="minor"/>
    </font>
    <font>
      <b/>
      <sz val="10"/>
      <color theme="3" tint="0.39997558519241921"/>
      <name val="Calibri"/>
      <family val="2"/>
      <scheme val="minor"/>
    </font>
    <font>
      <sz val="12"/>
      <color theme="1"/>
      <name val="Calibri"/>
      <family val="2"/>
      <scheme val="minor"/>
    </font>
    <font>
      <sz val="10"/>
      <color rgb="FF000000"/>
      <name val="Arial"/>
      <family val="2"/>
    </font>
    <font>
      <vertAlign val="superscript"/>
      <sz val="10"/>
      <color rgb="FF000000"/>
      <name val="Calibri"/>
      <family val="2"/>
      <scheme val="minor"/>
    </font>
    <font>
      <i/>
      <sz val="10"/>
      <color rgb="FF000000"/>
      <name val="Calibri"/>
      <family val="2"/>
      <scheme val="minor"/>
    </font>
    <font>
      <sz val="10"/>
      <color rgb="FFFFFFFF"/>
      <name val="Calibri"/>
      <family val="2"/>
      <scheme val="minor"/>
    </font>
    <font>
      <i/>
      <sz val="9"/>
      <color rgb="FF000000"/>
      <name val="Calibri"/>
      <family val="2"/>
      <scheme val="minor"/>
    </font>
    <font>
      <sz val="9"/>
      <color rgb="FF000000"/>
      <name val="Calibri"/>
      <family val="2"/>
      <scheme val="minor"/>
    </font>
    <font>
      <b/>
      <sz val="11"/>
      <color theme="0"/>
      <name val="Calibri"/>
      <family val="2"/>
      <scheme val="minor"/>
    </font>
    <font>
      <sz val="9"/>
      <color rgb="FF000000"/>
      <name val="Arial"/>
      <family val="2"/>
    </font>
    <font>
      <sz val="9"/>
      <name val="Calibri"/>
      <family val="2"/>
      <scheme val="minor"/>
    </font>
    <font>
      <sz val="10"/>
      <name val="Arial"/>
      <family val="2"/>
    </font>
    <font>
      <b/>
      <sz val="9"/>
      <color rgb="FF000000"/>
      <name val="Calibri"/>
      <family val="2"/>
      <scheme val="minor"/>
    </font>
    <font>
      <i/>
      <sz val="8"/>
      <color rgb="FF000000"/>
      <name val="Calibri"/>
      <family val="2"/>
      <scheme val="minor"/>
    </font>
    <font>
      <b/>
      <i/>
      <sz val="8"/>
      <color rgb="FF000000"/>
      <name val="Calibri"/>
      <family val="2"/>
      <scheme val="minor"/>
    </font>
    <font>
      <sz val="8"/>
      <color rgb="FF000000"/>
      <name val="Calibri"/>
      <family val="2"/>
      <scheme val="minor"/>
    </font>
    <font>
      <b/>
      <sz val="11"/>
      <color theme="3" tint="0.39997558519241921"/>
      <name val="Calibri"/>
      <family val="2"/>
      <scheme val="minor"/>
    </font>
    <font>
      <sz val="9"/>
      <color indexed="81"/>
      <name val="Tahoma"/>
      <family val="2"/>
    </font>
    <font>
      <b/>
      <sz val="9"/>
      <color indexed="81"/>
      <name val="Tahoma"/>
      <family val="2"/>
    </font>
    <font>
      <b/>
      <i/>
      <sz val="9"/>
      <color rgb="FFFF0000"/>
      <name val="Calibri"/>
      <family val="2"/>
      <scheme val="minor"/>
    </font>
    <font>
      <sz val="10"/>
      <color rgb="FF000000"/>
      <name val="Calibri"/>
      <family val="2"/>
    </font>
    <font>
      <b/>
      <sz val="9"/>
      <color rgb="FFFFFFFF"/>
      <name val="Calibri"/>
      <family val="2"/>
      <scheme val="minor"/>
    </font>
    <font>
      <sz val="9"/>
      <color rgb="FFFFFFFF"/>
      <name val="Calibri"/>
      <family val="2"/>
      <scheme val="minor"/>
    </font>
    <font>
      <b/>
      <vertAlign val="superscript"/>
      <sz val="9"/>
      <color rgb="FFFFFFFF"/>
      <name val="Calibri"/>
      <family val="2"/>
      <scheme val="minor"/>
    </font>
    <font>
      <sz val="8"/>
      <color rgb="FF000000"/>
      <name val="Rupee Foradian"/>
      <family val="2"/>
    </font>
    <font>
      <i/>
      <sz val="8"/>
      <color rgb="FF000000"/>
      <name val="Calibri"/>
      <family val="2"/>
    </font>
    <font>
      <b/>
      <sz val="10"/>
      <color theme="0"/>
      <name val="Calibri"/>
      <family val="2"/>
      <scheme val="minor"/>
    </font>
    <font>
      <b/>
      <i/>
      <u/>
      <sz val="10"/>
      <color theme="1"/>
      <name val="Calibri"/>
      <family val="2"/>
      <scheme val="minor"/>
    </font>
    <font>
      <b/>
      <u/>
      <sz val="10"/>
      <color theme="1"/>
      <name val="Calibri"/>
      <family val="2"/>
      <scheme val="minor"/>
    </font>
    <font>
      <sz val="10"/>
      <color rgb="FFFF0000"/>
      <name val="Calibri"/>
      <family val="2"/>
      <scheme val="minor"/>
    </font>
  </fonts>
  <fills count="22">
    <fill>
      <patternFill patternType="none"/>
    </fill>
    <fill>
      <patternFill patternType="gray125"/>
    </fill>
    <fill>
      <patternFill patternType="solid">
        <fgColor theme="9" tint="0.59999389629810485"/>
        <bgColor indexed="64"/>
      </patternFill>
    </fill>
    <fill>
      <patternFill patternType="solid">
        <fgColor theme="9" tint="0.79998168889431442"/>
        <bgColor indexed="65"/>
      </patternFill>
    </fill>
    <fill>
      <patternFill patternType="solid">
        <fgColor theme="0" tint="-0.14999847407452621"/>
        <bgColor indexed="64"/>
      </patternFill>
    </fill>
    <fill>
      <patternFill patternType="solid">
        <fgColor theme="1"/>
        <bgColor indexed="64"/>
      </patternFill>
    </fill>
    <fill>
      <patternFill patternType="solid">
        <fgColor theme="7" tint="0.79998168889431442"/>
        <bgColor indexed="64"/>
      </patternFill>
    </fill>
    <fill>
      <patternFill patternType="solid">
        <fgColor theme="5"/>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rgb="FF464646"/>
        <bgColor indexed="64"/>
      </patternFill>
    </fill>
    <fill>
      <patternFill patternType="solid">
        <fgColor rgb="FFF2F2F2"/>
        <bgColor indexed="64"/>
      </patternFill>
    </fill>
    <fill>
      <patternFill patternType="solid">
        <fgColor rgb="FFD9D9D9"/>
        <bgColor indexed="64"/>
      </patternFill>
    </fill>
    <fill>
      <patternFill patternType="solid">
        <fgColor rgb="FFFFD200"/>
        <bgColor indexed="64"/>
      </patternFill>
    </fill>
    <fill>
      <patternFill patternType="solid">
        <fgColor theme="0"/>
        <bgColor indexed="64"/>
      </patternFill>
    </fill>
    <fill>
      <patternFill patternType="solid">
        <fgColor rgb="FFFFFFFF"/>
        <bgColor indexed="64"/>
      </patternFill>
    </fill>
    <fill>
      <patternFill patternType="solid">
        <fgColor theme="0" tint="-4.9989318521683403E-2"/>
        <bgColor indexed="64"/>
      </patternFill>
    </fill>
    <fill>
      <patternFill patternType="solid">
        <fgColor rgb="FFA5A5A5"/>
      </patternFill>
    </fill>
    <fill>
      <patternFill patternType="solid">
        <fgColor rgb="FFFFFFCC"/>
      </patternFill>
    </fill>
    <fill>
      <patternFill patternType="solid">
        <fgColor theme="1" tint="0.34998626667073579"/>
        <bgColor indexed="64"/>
      </patternFill>
    </fill>
    <fill>
      <patternFill patternType="solid">
        <fgColor theme="1" tint="0.14999847407452621"/>
        <bgColor indexed="64"/>
      </patternFill>
    </fill>
    <fill>
      <patternFill patternType="solid">
        <fgColor rgb="FFFFFF00"/>
        <bgColor indexed="64"/>
      </patternFill>
    </fill>
  </fills>
  <borders count="107">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dotted">
        <color auto="1"/>
      </right>
      <top style="thin">
        <color auto="1"/>
      </top>
      <bottom style="dotted">
        <color auto="1"/>
      </bottom>
      <diagonal/>
    </border>
    <border>
      <left style="dotted">
        <color auto="1"/>
      </left>
      <right style="dotted">
        <color auto="1"/>
      </right>
      <top style="thin">
        <color auto="1"/>
      </top>
      <bottom style="dotted">
        <color auto="1"/>
      </bottom>
      <diagonal/>
    </border>
    <border>
      <left style="dotted">
        <color auto="1"/>
      </left>
      <right style="thin">
        <color auto="1"/>
      </right>
      <top style="thin">
        <color auto="1"/>
      </top>
      <bottom style="dotted">
        <color auto="1"/>
      </bottom>
      <diagonal/>
    </border>
    <border>
      <left style="thin">
        <color auto="1"/>
      </left>
      <right style="dotted">
        <color auto="1"/>
      </right>
      <top style="dotted">
        <color auto="1"/>
      </top>
      <bottom style="dotted">
        <color auto="1"/>
      </bottom>
      <diagonal/>
    </border>
    <border>
      <left style="dotted">
        <color auto="1"/>
      </left>
      <right style="dotted">
        <color auto="1"/>
      </right>
      <top style="dotted">
        <color auto="1"/>
      </top>
      <bottom style="dotted">
        <color auto="1"/>
      </bottom>
      <diagonal/>
    </border>
    <border>
      <left style="dotted">
        <color auto="1"/>
      </left>
      <right style="thin">
        <color auto="1"/>
      </right>
      <top style="dotted">
        <color auto="1"/>
      </top>
      <bottom style="dotted">
        <color auto="1"/>
      </bottom>
      <diagonal/>
    </border>
    <border>
      <left style="thin">
        <color auto="1"/>
      </left>
      <right style="dotted">
        <color auto="1"/>
      </right>
      <top style="dotted">
        <color auto="1"/>
      </top>
      <bottom style="thin">
        <color auto="1"/>
      </bottom>
      <diagonal/>
    </border>
    <border>
      <left style="dotted">
        <color auto="1"/>
      </left>
      <right style="dotted">
        <color auto="1"/>
      </right>
      <top style="dotted">
        <color auto="1"/>
      </top>
      <bottom style="thin">
        <color auto="1"/>
      </bottom>
      <diagonal/>
    </border>
    <border>
      <left style="dotted">
        <color auto="1"/>
      </left>
      <right style="thin">
        <color auto="1"/>
      </right>
      <top style="dotted">
        <color auto="1"/>
      </top>
      <bottom style="thin">
        <color auto="1"/>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hair">
        <color auto="1"/>
      </left>
      <right style="hair">
        <color auto="1"/>
      </right>
      <top style="thin">
        <color auto="1"/>
      </top>
      <bottom style="thin">
        <color auto="1"/>
      </bottom>
      <diagonal/>
    </border>
    <border>
      <left style="hair">
        <color auto="1"/>
      </left>
      <right style="thin">
        <color auto="1"/>
      </right>
      <top style="thin">
        <color auto="1"/>
      </top>
      <bottom style="thin">
        <color auto="1"/>
      </bottom>
      <diagonal/>
    </border>
    <border>
      <left/>
      <right/>
      <top style="medium">
        <color rgb="FF000000"/>
      </top>
      <bottom/>
      <diagonal/>
    </border>
    <border>
      <left/>
      <right/>
      <top/>
      <bottom style="medium">
        <color rgb="FF000000"/>
      </bottom>
      <diagonal/>
    </border>
    <border>
      <left/>
      <right/>
      <top/>
      <bottom style="medium">
        <color auto="1"/>
      </bottom>
      <diagonal/>
    </border>
    <border>
      <left/>
      <right/>
      <top style="thin">
        <color auto="1"/>
      </top>
      <bottom style="medium">
        <color auto="1"/>
      </bottom>
      <diagonal/>
    </border>
    <border>
      <left style="thin">
        <color auto="1"/>
      </left>
      <right style="thin">
        <color auto="1"/>
      </right>
      <top/>
      <bottom/>
      <diagonal/>
    </border>
    <border>
      <left style="thin">
        <color auto="1"/>
      </left>
      <right style="dotted">
        <color auto="1"/>
      </right>
      <top style="thin">
        <color auto="1"/>
      </top>
      <bottom style="thin">
        <color auto="1"/>
      </bottom>
      <diagonal/>
    </border>
    <border>
      <left style="dotted">
        <color auto="1"/>
      </left>
      <right style="dotted">
        <color auto="1"/>
      </right>
      <top style="thin">
        <color auto="1"/>
      </top>
      <bottom style="thin">
        <color auto="1"/>
      </bottom>
      <diagonal/>
    </border>
    <border>
      <left style="dotted">
        <color auto="1"/>
      </left>
      <right style="thin">
        <color auto="1"/>
      </right>
      <top style="thin">
        <color auto="1"/>
      </top>
      <bottom style="thin">
        <color auto="1"/>
      </bottom>
      <diagonal/>
    </border>
    <border>
      <left/>
      <right/>
      <top style="medium">
        <color rgb="FF464646"/>
      </top>
      <bottom style="medium">
        <color rgb="FF464646"/>
      </bottom>
      <diagonal/>
    </border>
    <border>
      <left/>
      <right style="medium">
        <color rgb="FFF2F2F2"/>
      </right>
      <top/>
      <bottom style="medium">
        <color auto="1"/>
      </bottom>
      <diagonal/>
    </border>
    <border>
      <left/>
      <right style="medium">
        <color rgb="FFF2F2F2"/>
      </right>
      <top style="medium">
        <color rgb="FF464646"/>
      </top>
      <bottom style="medium">
        <color auto="1"/>
      </bottom>
      <diagonal/>
    </border>
    <border>
      <left/>
      <right/>
      <top style="medium">
        <color auto="1"/>
      </top>
      <bottom style="medium">
        <color rgb="FF464646"/>
      </bottom>
      <diagonal/>
    </border>
    <border>
      <left/>
      <right/>
      <top style="medium">
        <color rgb="FF464646"/>
      </top>
      <bottom/>
      <diagonal/>
    </border>
    <border>
      <left/>
      <right/>
      <top style="medium">
        <color auto="1"/>
      </top>
      <bottom style="medium">
        <color auto="1"/>
      </bottom>
      <diagonal/>
    </border>
    <border>
      <left/>
      <right style="medium">
        <color rgb="FFF2F2F2"/>
      </right>
      <top/>
      <bottom/>
      <diagonal/>
    </border>
    <border>
      <left style="medium">
        <color rgb="FFF2F2F2"/>
      </left>
      <right/>
      <top/>
      <bottom/>
      <diagonal/>
    </border>
    <border>
      <left style="medium">
        <color rgb="FFF2F2F2"/>
      </left>
      <right/>
      <top/>
      <bottom style="medium">
        <color auto="1"/>
      </bottom>
      <diagonal/>
    </border>
    <border>
      <left/>
      <right/>
      <top/>
      <bottom style="medium">
        <color rgb="FF464646"/>
      </bottom>
      <diagonal/>
    </border>
    <border>
      <left/>
      <right/>
      <top/>
      <bottom style="thin">
        <color auto="1"/>
      </bottom>
      <diagonal/>
    </border>
    <border>
      <left/>
      <right style="medium">
        <color rgb="FFF2F2F2"/>
      </right>
      <top/>
      <bottom style="medium">
        <color rgb="FF7F7F7F"/>
      </bottom>
      <diagonal/>
    </border>
    <border>
      <left/>
      <right/>
      <top/>
      <bottom style="medium">
        <color rgb="FF7F7F7F"/>
      </bottom>
      <diagonal/>
    </border>
    <border>
      <left/>
      <right style="medium">
        <color rgb="FFFFFFFF"/>
      </right>
      <top/>
      <bottom/>
      <diagonal/>
    </border>
    <border>
      <left style="medium">
        <color rgb="FFF2F2F2"/>
      </left>
      <right/>
      <top style="medium">
        <color rgb="FFFFFFFF"/>
      </top>
      <bottom style="medium">
        <color rgb="FF000000"/>
      </bottom>
      <diagonal/>
    </border>
    <border>
      <left/>
      <right style="medium">
        <color rgb="FFF2F2F2"/>
      </right>
      <top style="medium">
        <color rgb="FFFFFFFF"/>
      </top>
      <bottom style="medium">
        <color rgb="FF000000"/>
      </bottom>
      <diagonal/>
    </border>
    <border>
      <left/>
      <right/>
      <top style="medium">
        <color rgb="FFFFFFFF"/>
      </top>
      <bottom style="medium">
        <color rgb="FF000000"/>
      </bottom>
      <diagonal/>
    </border>
    <border>
      <left style="medium">
        <color rgb="FFF2F2F2"/>
      </left>
      <right/>
      <top style="medium">
        <color rgb="FF000000"/>
      </top>
      <bottom/>
      <diagonal/>
    </border>
    <border>
      <left/>
      <right style="medium">
        <color rgb="FFF2F2F2"/>
      </right>
      <top style="medium">
        <color rgb="FF000000"/>
      </top>
      <bottom/>
      <diagonal/>
    </border>
    <border>
      <left style="medium">
        <color rgb="FFF2F2F2"/>
      </left>
      <right/>
      <top/>
      <bottom style="medium">
        <color rgb="FF7F7F7F"/>
      </bottom>
      <diagonal/>
    </border>
    <border>
      <left/>
      <right/>
      <top style="medium">
        <color rgb="FF7F7F7F"/>
      </top>
      <bottom style="medium">
        <color rgb="FF7F7F7F"/>
      </bottom>
      <diagonal/>
    </border>
    <border>
      <left/>
      <right/>
      <top style="medium">
        <color rgb="FF7F7F7F"/>
      </top>
      <bottom/>
      <diagonal/>
    </border>
    <border>
      <left/>
      <right style="medium">
        <color rgb="FFFFFFFF"/>
      </right>
      <top style="medium">
        <color rgb="FF7F7F7F"/>
      </top>
      <bottom/>
      <diagonal/>
    </border>
    <border>
      <left style="medium">
        <color rgb="FFFFFFFF"/>
      </left>
      <right/>
      <top style="medium">
        <color rgb="FF7F7F7F"/>
      </top>
      <bottom/>
      <diagonal/>
    </border>
    <border>
      <left style="medium">
        <color rgb="FFFFFFFF"/>
      </left>
      <right/>
      <top/>
      <bottom/>
      <diagonal/>
    </border>
    <border>
      <left/>
      <right style="medium">
        <color rgb="FFFFFFFF"/>
      </right>
      <top/>
      <bottom style="medium">
        <color rgb="FF464646"/>
      </bottom>
      <diagonal/>
    </border>
    <border>
      <left/>
      <right/>
      <top style="medium">
        <color rgb="FF464646"/>
      </top>
      <bottom style="medium">
        <color rgb="FF7F7F7F"/>
      </bottom>
      <diagonal/>
    </border>
    <border>
      <left style="medium">
        <color rgb="FFFFFFFF"/>
      </left>
      <right/>
      <top/>
      <bottom style="medium">
        <color rgb="FF464646"/>
      </bottom>
      <diagonal/>
    </border>
    <border>
      <left/>
      <right style="medium">
        <color theme="0"/>
      </right>
      <top/>
      <bottom style="medium">
        <color rgb="FF7F7F7F"/>
      </bottom>
      <diagonal/>
    </border>
    <border>
      <left/>
      <right/>
      <top style="medium">
        <color rgb="FF464646"/>
      </top>
      <bottom style="medium">
        <color rgb="FFFFFFF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top style="thin">
        <color auto="1"/>
      </top>
      <bottom/>
      <diagonal/>
    </border>
    <border>
      <left/>
      <right style="thin">
        <color theme="0"/>
      </right>
      <top style="thin">
        <color auto="1"/>
      </top>
      <bottom style="thin">
        <color auto="1"/>
      </bottom>
      <diagonal/>
    </border>
    <border>
      <left style="thin">
        <color theme="0"/>
      </left>
      <right/>
      <top style="thin">
        <color auto="1"/>
      </top>
      <bottom style="thin">
        <color auto="1"/>
      </bottom>
      <diagonal/>
    </border>
    <border>
      <left/>
      <right/>
      <top style="medium">
        <color rgb="FF000000"/>
      </top>
      <bottom style="medium">
        <color rgb="FF000000"/>
      </bottom>
      <diagonal/>
    </border>
    <border>
      <left/>
      <right style="medium">
        <color rgb="FFF2F2F2"/>
      </right>
      <top/>
      <bottom style="medium">
        <color rgb="FFF2F2F2"/>
      </bottom>
      <diagonal/>
    </border>
    <border>
      <left/>
      <right style="medium">
        <color rgb="FF7F7F7F"/>
      </right>
      <top style="medium">
        <color rgb="FF000000"/>
      </top>
      <bottom/>
      <diagonal/>
    </border>
    <border>
      <left style="medium">
        <color rgb="FF7F7F7F"/>
      </left>
      <right style="medium">
        <color rgb="FF7F7F7F"/>
      </right>
      <top style="medium">
        <color rgb="FF000000"/>
      </top>
      <bottom/>
      <diagonal/>
    </border>
    <border>
      <left/>
      <right/>
      <top style="medium">
        <color auto="1"/>
      </top>
      <bottom/>
      <diagonal/>
    </border>
    <border>
      <left/>
      <right/>
      <top style="medium">
        <color rgb="FFFFFFFF"/>
      </top>
      <bottom/>
      <diagonal/>
    </border>
    <border>
      <left/>
      <right/>
      <top style="medium">
        <color rgb="FF000000"/>
      </top>
      <bottom style="medium">
        <color rgb="FFFFFFFF"/>
      </bottom>
      <diagonal/>
    </border>
    <border>
      <left/>
      <right style="medium">
        <color theme="0"/>
      </right>
      <top/>
      <bottom/>
      <diagonal/>
    </border>
    <border>
      <left style="thin">
        <color auto="1"/>
      </left>
      <right style="thin">
        <color auto="1"/>
      </right>
      <top style="hair">
        <color auto="1"/>
      </top>
      <bottom/>
      <diagonal/>
    </border>
    <border>
      <left/>
      <right style="medium">
        <color rgb="FF7F7F7F"/>
      </right>
      <top/>
      <bottom style="thin">
        <color auto="1"/>
      </bottom>
      <diagonal/>
    </border>
    <border>
      <left style="medium">
        <color rgb="FF7F7F7F"/>
      </left>
      <right style="medium">
        <color rgb="FF7F7F7F"/>
      </right>
      <top/>
      <bottom style="thin">
        <color auto="1"/>
      </bottom>
      <diagonal/>
    </border>
    <border>
      <left/>
      <right style="thin">
        <color theme="0"/>
      </right>
      <top style="medium">
        <color rgb="FF464646"/>
      </top>
      <bottom style="medium">
        <color rgb="FF7F7F7F"/>
      </bottom>
      <diagonal/>
    </border>
    <border>
      <left style="thin">
        <color theme="0"/>
      </left>
      <right/>
      <top style="medium">
        <color rgb="FF464646"/>
      </top>
      <bottom style="medium">
        <color rgb="FF7F7F7F"/>
      </bottom>
      <diagonal/>
    </border>
    <border>
      <left style="medium">
        <color theme="0"/>
      </left>
      <right style="thin">
        <color theme="0"/>
      </right>
      <top/>
      <bottom style="medium">
        <color rgb="FF7F7F7F"/>
      </bottom>
      <diagonal/>
    </border>
    <border>
      <left style="medium">
        <color theme="0"/>
      </left>
      <right style="thin">
        <color theme="0"/>
      </right>
      <top/>
      <bottom/>
      <diagonal/>
    </border>
    <border>
      <left style="thin">
        <color theme="0"/>
      </left>
      <right style="thin">
        <color theme="0"/>
      </right>
      <top/>
      <bottom/>
      <diagonal/>
    </border>
    <border>
      <left/>
      <right style="thin">
        <color theme="0"/>
      </right>
      <top/>
      <bottom style="medium">
        <color rgb="FF7F7F7F"/>
      </bottom>
      <diagonal/>
    </border>
    <border>
      <left/>
      <right style="thin">
        <color theme="0"/>
      </right>
      <top/>
      <bottom/>
      <diagonal/>
    </border>
    <border>
      <left/>
      <right style="thin">
        <color rgb="FFB2B2B2"/>
      </right>
      <top style="thin">
        <color rgb="FFB2B2B2"/>
      </top>
      <bottom style="thin">
        <color rgb="FFB2B2B2"/>
      </bottom>
      <diagonal/>
    </border>
    <border>
      <left style="medium">
        <color rgb="FFF2F2F2"/>
      </left>
      <right style="thin">
        <color theme="0"/>
      </right>
      <top style="medium">
        <color rgb="FF000000"/>
      </top>
      <bottom/>
      <diagonal/>
    </border>
    <border>
      <left style="medium">
        <color rgb="FFF2F2F2"/>
      </left>
      <right style="thin">
        <color theme="0"/>
      </right>
      <top/>
      <bottom/>
      <diagonal/>
    </border>
    <border>
      <left style="medium">
        <color rgb="FFF2F2F2"/>
      </left>
      <right style="thin">
        <color theme="0"/>
      </right>
      <top/>
      <bottom style="medium">
        <color rgb="FF7F7F7F"/>
      </bottom>
      <diagonal/>
    </border>
    <border>
      <left/>
      <right/>
      <top style="medium">
        <color rgb="FF464646"/>
      </top>
      <bottom style="medium">
        <color auto="1"/>
      </bottom>
      <diagonal/>
    </border>
    <border>
      <left style="thin">
        <color theme="0"/>
      </left>
      <right/>
      <top style="medium">
        <color rgb="FF464646"/>
      </top>
      <bottom/>
      <diagonal/>
    </border>
    <border>
      <left/>
      <right style="thin">
        <color theme="0"/>
      </right>
      <top style="medium">
        <color rgb="FF464646"/>
      </top>
      <bottom/>
      <diagonal/>
    </border>
    <border>
      <left/>
      <right style="thin">
        <color theme="0"/>
      </right>
      <top/>
      <bottom style="medium">
        <color rgb="FF464646"/>
      </bottom>
      <diagonal/>
    </border>
    <border>
      <left/>
      <right/>
      <top style="thin">
        <color rgb="FFB2B2B2"/>
      </top>
      <bottom style="thin">
        <color rgb="FFB2B2B2"/>
      </bottom>
      <diagonal/>
    </border>
    <border>
      <left style="thin">
        <color auto="1"/>
      </left>
      <right/>
      <top/>
      <bottom style="medium">
        <color rgb="FF000000"/>
      </bottom>
      <diagonal/>
    </border>
    <border>
      <left style="thin">
        <color auto="1"/>
      </left>
      <right/>
      <top/>
      <bottom/>
      <diagonal/>
    </border>
    <border>
      <left style="thin">
        <color auto="1"/>
      </left>
      <right/>
      <top style="medium">
        <color auto="1"/>
      </top>
      <bottom/>
      <diagonal/>
    </border>
  </borders>
  <cellStyleXfs count="7">
    <xf numFmtId="0" fontId="0" fillId="0" borderId="0"/>
    <xf numFmtId="164" fontId="1" fillId="0" borderId="0" applyFont="0" applyFill="0" applyBorder="0" applyAlignment="0" applyProtection="0"/>
    <xf numFmtId="0" fontId="1" fillId="3" borderId="0" applyNumberFormat="0" applyBorder="0" applyAlignment="0" applyProtection="0"/>
    <xf numFmtId="9" fontId="1" fillId="0" borderId="0" applyFont="0" applyFill="0" applyBorder="0" applyAlignment="0" applyProtection="0"/>
    <xf numFmtId="0" fontId="23" fillId="17" borderId="68" applyNumberFormat="0" applyAlignment="0" applyProtection="0"/>
    <xf numFmtId="0" fontId="1" fillId="18" borderId="69" applyNumberFormat="0" applyFont="0" applyAlignment="0" applyProtection="0"/>
    <xf numFmtId="0" fontId="26" fillId="0" borderId="0"/>
  </cellStyleXfs>
  <cellXfs count="578">
    <xf numFmtId="0" fontId="0" fillId="0" borderId="0" xfId="0"/>
    <xf numFmtId="0" fontId="2" fillId="0" borderId="0" xfId="0" applyFont="1"/>
    <xf numFmtId="0" fontId="3" fillId="0" borderId="1" xfId="0" applyFont="1" applyBorder="1" applyAlignment="1">
      <alignment horizontal="right" vertical="center" wrapText="1"/>
    </xf>
    <xf numFmtId="0" fontId="2" fillId="0" borderId="0" xfId="0" applyFont="1" applyAlignment="1">
      <alignment horizontal="center" vertical="center" wrapText="1"/>
    </xf>
    <xf numFmtId="3" fontId="2" fillId="0" borderId="0" xfId="0" applyNumberFormat="1"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right" vertical="center" wrapText="1"/>
    </xf>
    <xf numFmtId="0" fontId="2" fillId="0" borderId="3" xfId="0" applyFont="1" applyBorder="1" applyAlignment="1">
      <alignment horizontal="right" vertical="center" wrapText="1"/>
    </xf>
    <xf numFmtId="0" fontId="2" fillId="0" borderId="0" xfId="0" applyFont="1" applyBorder="1" applyAlignment="1">
      <alignment horizontal="right" vertical="center" wrapText="1"/>
    </xf>
    <xf numFmtId="0" fontId="2" fillId="0" borderId="0" xfId="0" applyFont="1" applyAlignment="1">
      <alignment horizontal="right" vertical="center" wrapText="1"/>
    </xf>
    <xf numFmtId="9" fontId="2" fillId="0" borderId="4" xfId="0" applyNumberFormat="1" applyFont="1" applyFill="1" applyBorder="1" applyAlignment="1">
      <alignment horizontal="center" vertical="center" wrapText="1"/>
    </xf>
    <xf numFmtId="3" fontId="2" fillId="0" borderId="0" xfId="0" applyNumberFormat="1" applyFont="1" applyFill="1" applyBorder="1" applyAlignment="1">
      <alignment horizontal="center" vertical="center" wrapText="1"/>
    </xf>
    <xf numFmtId="10" fontId="2" fillId="0" borderId="1" xfId="0" applyNumberFormat="1" applyFont="1" applyBorder="1" applyAlignment="1">
      <alignment horizontal="center" vertical="center" wrapText="1"/>
    </xf>
    <xf numFmtId="0" fontId="3" fillId="0" borderId="1" xfId="0" applyFont="1" applyBorder="1" applyAlignment="1">
      <alignment horizontal="right"/>
    </xf>
    <xf numFmtId="3" fontId="2" fillId="0" borderId="0" xfId="1" applyNumberFormat="1" applyFont="1" applyFill="1" applyBorder="1" applyAlignment="1">
      <alignment horizontal="center" vertical="center" wrapText="1"/>
    </xf>
    <xf numFmtId="10" fontId="2" fillId="0" borderId="0" xfId="0" applyNumberFormat="1" applyFont="1" applyBorder="1" applyAlignment="1">
      <alignment horizontal="center" vertical="center" wrapText="1"/>
    </xf>
    <xf numFmtId="4" fontId="2" fillId="0" borderId="1" xfId="0" applyNumberFormat="1" applyFont="1" applyFill="1" applyBorder="1" applyAlignment="1">
      <alignment horizontal="center" vertical="center" wrapText="1"/>
    </xf>
    <xf numFmtId="0" fontId="2" fillId="0" borderId="0" xfId="0" applyFont="1" applyAlignment="1">
      <alignment vertical="center"/>
    </xf>
    <xf numFmtId="0" fontId="2" fillId="0" borderId="1" xfId="0" applyFont="1" applyBorder="1" applyAlignment="1">
      <alignment horizontal="center" vertical="center"/>
    </xf>
    <xf numFmtId="0" fontId="2" fillId="0" borderId="0" xfId="0" applyFont="1" applyBorder="1"/>
    <xf numFmtId="0" fontId="3" fillId="0" borderId="1" xfId="0" applyFont="1" applyBorder="1" applyAlignment="1">
      <alignment horizontal="right" vertical="center"/>
    </xf>
    <xf numFmtId="0" fontId="2" fillId="0" borderId="0" xfId="0" applyFont="1" applyBorder="1" applyAlignment="1">
      <alignment horizontal="right"/>
    </xf>
    <xf numFmtId="10" fontId="2" fillId="0" borderId="0" xfId="0" applyNumberFormat="1" applyFont="1" applyBorder="1" applyAlignment="1">
      <alignment horizontal="center"/>
    </xf>
    <xf numFmtId="3" fontId="2" fillId="0" borderId="1" xfId="0" applyNumberFormat="1" applyFont="1" applyBorder="1" applyAlignment="1">
      <alignment horizontal="center" vertical="center"/>
    </xf>
    <xf numFmtId="165" fontId="2" fillId="0" borderId="1" xfId="1" applyNumberFormat="1" applyFont="1" applyBorder="1" applyAlignment="1">
      <alignment horizontal="center" vertical="center"/>
    </xf>
    <xf numFmtId="3" fontId="2" fillId="4" borderId="1" xfId="0" applyNumberFormat="1" applyFont="1" applyFill="1" applyBorder="1" applyAlignment="1">
      <alignment horizontal="center" vertical="center"/>
    </xf>
    <xf numFmtId="0" fontId="2" fillId="4" borderId="1" xfId="0" applyFont="1" applyFill="1" applyBorder="1" applyAlignment="1">
      <alignment horizontal="center" vertical="center"/>
    </xf>
    <xf numFmtId="0" fontId="2" fillId="0" borderId="1" xfId="0" applyFont="1" applyFill="1" applyBorder="1" applyAlignment="1">
      <alignment horizontal="right"/>
    </xf>
    <xf numFmtId="4" fontId="2" fillId="0" borderId="1" xfId="0" applyNumberFormat="1" applyFont="1" applyBorder="1" applyAlignment="1">
      <alignment horizontal="center" vertical="center"/>
    </xf>
    <xf numFmtId="164" fontId="2" fillId="0" borderId="1" xfId="1" applyFont="1" applyBorder="1" applyAlignment="1">
      <alignment horizontal="center" vertical="center"/>
    </xf>
    <xf numFmtId="0" fontId="2" fillId="0" borderId="0" xfId="0" applyFont="1" applyAlignment="1">
      <alignment wrapText="1"/>
    </xf>
    <xf numFmtId="0" fontId="3" fillId="0" borderId="1" xfId="0" applyFont="1" applyBorder="1" applyAlignment="1">
      <alignment horizontal="center" vertical="center"/>
    </xf>
    <xf numFmtId="0" fontId="3" fillId="0" borderId="1" xfId="0" applyFont="1" applyBorder="1" applyAlignment="1">
      <alignment horizontal="center"/>
    </xf>
    <xf numFmtId="0" fontId="2" fillId="0" borderId="0" xfId="0" applyFont="1" applyAlignment="1">
      <alignment horizontal="right"/>
    </xf>
    <xf numFmtId="0" fontId="2" fillId="0" borderId="0" xfId="0" applyFont="1" applyAlignment="1">
      <alignment horizontal="right" vertical="center"/>
    </xf>
    <xf numFmtId="0" fontId="3" fillId="0" borderId="3" xfId="0" applyFont="1" applyBorder="1" applyAlignment="1">
      <alignment horizontal="center" vertical="center" wrapText="1"/>
    </xf>
    <xf numFmtId="0" fontId="3" fillId="0" borderId="1" xfId="0" applyFont="1" applyBorder="1" applyAlignment="1">
      <alignment horizontal="center" vertical="center" wrapText="1"/>
    </xf>
    <xf numFmtId="164" fontId="2" fillId="0" borderId="3" xfId="0" applyNumberFormat="1" applyFont="1" applyBorder="1" applyAlignment="1">
      <alignment horizontal="right" vertical="center" wrapText="1"/>
    </xf>
    <xf numFmtId="168" fontId="2" fillId="0" borderId="3" xfId="0" applyNumberFormat="1" applyFont="1" applyBorder="1" applyAlignment="1">
      <alignment horizontal="center" vertical="center" wrapText="1"/>
    </xf>
    <xf numFmtId="168" fontId="2" fillId="0" borderId="1" xfId="0" applyNumberFormat="1" applyFont="1" applyBorder="1" applyAlignment="1">
      <alignment horizontal="center" vertical="center" wrapText="1"/>
    </xf>
    <xf numFmtId="164" fontId="2" fillId="0" borderId="3" xfId="0" applyNumberFormat="1" applyFont="1" applyBorder="1" applyAlignment="1">
      <alignment horizontal="center" vertical="center" wrapText="1"/>
    </xf>
    <xf numFmtId="0" fontId="2" fillId="0" borderId="1" xfId="0" applyFont="1" applyBorder="1" applyAlignment="1">
      <alignment horizontal="right"/>
    </xf>
    <xf numFmtId="0" fontId="2" fillId="0" borderId="1" xfId="0" applyFont="1" applyBorder="1" applyAlignment="1">
      <alignment horizontal="right" vertical="center"/>
    </xf>
    <xf numFmtId="164" fontId="2" fillId="0" borderId="0" xfId="0" applyNumberFormat="1" applyFont="1" applyBorder="1" applyAlignment="1">
      <alignment horizontal="right" vertical="center" wrapText="1"/>
    </xf>
    <xf numFmtId="164" fontId="2" fillId="0" borderId="0" xfId="0" applyNumberFormat="1" applyFont="1" applyBorder="1" applyAlignment="1">
      <alignment horizontal="center" vertical="center" wrapText="1"/>
    </xf>
    <xf numFmtId="168" fontId="2" fillId="0" borderId="0" xfId="0" applyNumberFormat="1" applyFont="1" applyBorder="1" applyAlignment="1">
      <alignment horizontal="center" vertical="center" wrapText="1"/>
    </xf>
    <xf numFmtId="10" fontId="2" fillId="0" borderId="1" xfId="0" applyNumberFormat="1" applyFont="1" applyBorder="1" applyAlignment="1">
      <alignment horizontal="center" vertical="center"/>
    </xf>
    <xf numFmtId="170" fontId="2" fillId="0" borderId="1" xfId="0" applyNumberFormat="1" applyFont="1" applyBorder="1" applyAlignment="1">
      <alignment horizontal="center" vertical="center"/>
    </xf>
    <xf numFmtId="0" fontId="3" fillId="0" borderId="0" xfId="0" applyFont="1" applyBorder="1" applyAlignment="1">
      <alignment horizontal="right"/>
    </xf>
    <xf numFmtId="170" fontId="2" fillId="0" borderId="0" xfId="0" applyNumberFormat="1" applyFont="1" applyBorder="1" applyAlignment="1">
      <alignment horizontal="center" vertical="center"/>
    </xf>
    <xf numFmtId="10" fontId="2" fillId="0" borderId="0" xfId="0" applyNumberFormat="1" applyFont="1" applyBorder="1" applyAlignment="1">
      <alignment horizontal="center" vertical="center"/>
    </xf>
    <xf numFmtId="0" fontId="2" fillId="0" borderId="0" xfId="0" applyFont="1" applyBorder="1" applyAlignment="1">
      <alignment horizontal="center" vertical="center"/>
    </xf>
    <xf numFmtId="0" fontId="2" fillId="0" borderId="0" xfId="0" applyFont="1" applyBorder="1" applyAlignment="1">
      <alignment horizontal="right" vertical="center"/>
    </xf>
    <xf numFmtId="0" fontId="2" fillId="0" borderId="1" xfId="0" applyFont="1" applyFill="1" applyBorder="1" applyAlignment="1">
      <alignment horizontal="center" vertical="center"/>
    </xf>
    <xf numFmtId="0" fontId="2" fillId="0" borderId="0" xfId="0" applyFont="1" applyFill="1" applyBorder="1" applyAlignment="1">
      <alignment horizontal="center" vertical="center"/>
    </xf>
    <xf numFmtId="3" fontId="2" fillId="0" borderId="3" xfId="0" applyNumberFormat="1" applyFont="1" applyFill="1" applyBorder="1" applyAlignment="1">
      <alignment horizontal="center" vertical="center" wrapText="1"/>
    </xf>
    <xf numFmtId="0" fontId="4" fillId="0" borderId="0" xfId="0" applyFont="1" applyAlignment="1">
      <alignment horizontal="right" vertical="center"/>
    </xf>
    <xf numFmtId="0" fontId="5" fillId="5" borderId="1" xfId="0" applyFont="1" applyFill="1" applyBorder="1" applyAlignment="1">
      <alignment horizontal="right" vertical="center" wrapText="1"/>
    </xf>
    <xf numFmtId="0" fontId="2" fillId="0" borderId="0" xfId="0" applyFont="1" applyAlignment="1">
      <alignment horizontal="right" wrapText="1"/>
    </xf>
    <xf numFmtId="168" fontId="2" fillId="6" borderId="3" xfId="0" applyNumberFormat="1" applyFont="1" applyFill="1" applyBorder="1" applyAlignment="1">
      <alignment horizontal="center" vertical="center" wrapText="1"/>
    </xf>
    <xf numFmtId="168" fontId="2" fillId="6" borderId="1" xfId="0" applyNumberFormat="1" applyFont="1" applyFill="1" applyBorder="1" applyAlignment="1">
      <alignment horizontal="center" vertical="center" wrapText="1"/>
    </xf>
    <xf numFmtId="0" fontId="2" fillId="6" borderId="1" xfId="0" applyNumberFormat="1" applyFont="1" applyFill="1" applyBorder="1" applyAlignment="1">
      <alignment horizontal="center" vertical="center"/>
    </xf>
    <xf numFmtId="9" fontId="2" fillId="0" borderId="9" xfId="0" applyNumberFormat="1" applyFont="1" applyBorder="1" applyAlignment="1">
      <alignment horizontal="center"/>
    </xf>
    <xf numFmtId="9" fontId="2" fillId="0" borderId="10" xfId="0" applyNumberFormat="1" applyFont="1" applyBorder="1" applyAlignment="1">
      <alignment horizontal="center" vertical="center"/>
    </xf>
    <xf numFmtId="0" fontId="2" fillId="0" borderId="10" xfId="0" applyFont="1" applyBorder="1"/>
    <xf numFmtId="9" fontId="2" fillId="0" borderId="11" xfId="0" applyNumberFormat="1" applyFont="1" applyBorder="1" applyAlignment="1">
      <alignment horizontal="center" vertical="center"/>
    </xf>
    <xf numFmtId="10" fontId="2" fillId="4" borderId="12" xfId="0" applyNumberFormat="1" applyFont="1" applyFill="1" applyBorder="1" applyAlignment="1">
      <alignment horizontal="center"/>
    </xf>
    <xf numFmtId="10" fontId="2" fillId="4" borderId="13" xfId="0" applyNumberFormat="1" applyFont="1" applyFill="1" applyBorder="1" applyAlignment="1">
      <alignment horizontal="center"/>
    </xf>
    <xf numFmtId="10" fontId="2" fillId="4" borderId="14" xfId="0" applyNumberFormat="1" applyFont="1" applyFill="1" applyBorder="1" applyAlignment="1">
      <alignment horizontal="center"/>
    </xf>
    <xf numFmtId="9" fontId="2" fillId="0" borderId="18" xfId="0" applyNumberFormat="1" applyFont="1" applyBorder="1" applyAlignment="1">
      <alignment horizontal="center"/>
    </xf>
    <xf numFmtId="9" fontId="2" fillId="0" borderId="19" xfId="0" applyNumberFormat="1" applyFont="1" applyBorder="1" applyAlignment="1">
      <alignment horizontal="center" vertical="center"/>
    </xf>
    <xf numFmtId="0" fontId="2" fillId="0" borderId="19" xfId="0" applyFont="1" applyBorder="1"/>
    <xf numFmtId="9" fontId="2" fillId="0" borderId="20" xfId="0" applyNumberFormat="1" applyFont="1" applyBorder="1" applyAlignment="1">
      <alignment horizontal="center" vertical="center"/>
    </xf>
    <xf numFmtId="10" fontId="2" fillId="4" borderId="21" xfId="0" applyNumberFormat="1" applyFont="1" applyFill="1" applyBorder="1" applyAlignment="1">
      <alignment horizontal="center"/>
    </xf>
    <xf numFmtId="10" fontId="2" fillId="4" borderId="22" xfId="0" applyNumberFormat="1" applyFont="1" applyFill="1" applyBorder="1" applyAlignment="1">
      <alignment horizontal="center"/>
    </xf>
    <xf numFmtId="10" fontId="2" fillId="4" borderId="23" xfId="0" applyNumberFormat="1" applyFont="1" applyFill="1" applyBorder="1" applyAlignment="1">
      <alignment horizontal="center"/>
    </xf>
    <xf numFmtId="0" fontId="2" fillId="4" borderId="6" xfId="2" applyFont="1" applyFill="1" applyBorder="1" applyAlignment="1">
      <alignment horizontal="center" vertical="center" wrapText="1"/>
    </xf>
    <xf numFmtId="0" fontId="2" fillId="4" borderId="7" xfId="2" applyFont="1" applyFill="1" applyBorder="1" applyAlignment="1">
      <alignment horizontal="center" vertical="center" wrapText="1"/>
    </xf>
    <xf numFmtId="0" fontId="2" fillId="4" borderId="8" xfId="2" applyFont="1" applyFill="1" applyBorder="1" applyAlignment="1">
      <alignment horizontal="center" vertical="center" wrapText="1"/>
    </xf>
    <xf numFmtId="0" fontId="2" fillId="4" borderId="15" xfId="2" applyFont="1" applyFill="1" applyBorder="1" applyAlignment="1">
      <alignment horizontal="center" vertical="center" wrapText="1"/>
    </xf>
    <xf numFmtId="0" fontId="2" fillId="4" borderId="16" xfId="2" applyFont="1" applyFill="1" applyBorder="1" applyAlignment="1">
      <alignment horizontal="center" vertical="center" wrapText="1"/>
    </xf>
    <xf numFmtId="0" fontId="2" fillId="4" borderId="17" xfId="2" applyFont="1" applyFill="1" applyBorder="1" applyAlignment="1">
      <alignment horizontal="center" vertical="center" wrapText="1"/>
    </xf>
    <xf numFmtId="0" fontId="2" fillId="0" borderId="1" xfId="0" applyFont="1" applyFill="1" applyBorder="1" applyAlignment="1">
      <alignment horizontal="right" vertical="center"/>
    </xf>
    <xf numFmtId="168" fontId="2" fillId="0" borderId="1" xfId="0" applyNumberFormat="1" applyFont="1" applyBorder="1" applyAlignment="1">
      <alignment horizontal="center" vertical="center"/>
    </xf>
    <xf numFmtId="0" fontId="2" fillId="0" borderId="0" xfId="0" quotePrefix="1" applyFont="1" applyAlignment="1">
      <alignment vertical="center"/>
    </xf>
    <xf numFmtId="3" fontId="3" fillId="0" borderId="1" xfId="1" applyNumberFormat="1" applyFont="1" applyFill="1" applyBorder="1" applyAlignment="1">
      <alignment horizontal="center" vertical="center" wrapText="1"/>
    </xf>
    <xf numFmtId="0" fontId="6" fillId="0" borderId="0" xfId="0" applyFont="1" applyAlignment="1">
      <alignment horizontal="center"/>
    </xf>
    <xf numFmtId="0" fontId="2" fillId="0" borderId="24" xfId="0" applyFont="1" applyBorder="1" applyAlignment="1">
      <alignment horizontal="right" vertical="center" wrapText="1"/>
    </xf>
    <xf numFmtId="3" fontId="2" fillId="0" borderId="24" xfId="1" applyNumberFormat="1" applyFont="1" applyFill="1" applyBorder="1" applyAlignment="1">
      <alignment horizontal="center" vertical="center" wrapText="1"/>
    </xf>
    <xf numFmtId="10" fontId="2" fillId="0" borderId="24" xfId="1" applyNumberFormat="1" applyFont="1" applyFill="1" applyBorder="1" applyAlignment="1">
      <alignment horizontal="center" vertical="center" wrapText="1"/>
    </xf>
    <xf numFmtId="0" fontId="2" fillId="0" borderId="25" xfId="0" applyFont="1" applyBorder="1" applyAlignment="1">
      <alignment horizontal="right" vertical="center" wrapText="1"/>
    </xf>
    <xf numFmtId="3" fontId="2" fillId="0" borderId="25" xfId="1" applyNumberFormat="1" applyFont="1" applyFill="1" applyBorder="1" applyAlignment="1">
      <alignment horizontal="center" vertical="center" wrapText="1"/>
    </xf>
    <xf numFmtId="10" fontId="2" fillId="0" borderId="25" xfId="1" applyNumberFormat="1" applyFont="1" applyFill="1" applyBorder="1" applyAlignment="1">
      <alignment horizontal="center" vertical="center" wrapText="1"/>
    </xf>
    <xf numFmtId="0" fontId="2" fillId="0" borderId="26" xfId="0" applyFont="1" applyBorder="1" applyAlignment="1">
      <alignment horizontal="right" vertical="center" wrapText="1"/>
    </xf>
    <xf numFmtId="3" fontId="2" fillId="0" borderId="26" xfId="1" applyNumberFormat="1" applyFont="1" applyFill="1" applyBorder="1" applyAlignment="1">
      <alignment horizontal="center" vertical="center" wrapText="1"/>
    </xf>
    <xf numFmtId="10" fontId="2" fillId="0" borderId="26" xfId="1" applyNumberFormat="1" applyFont="1" applyFill="1" applyBorder="1" applyAlignment="1">
      <alignment horizontal="center" vertical="center" wrapText="1"/>
    </xf>
    <xf numFmtId="0" fontId="3" fillId="0" borderId="27"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29" xfId="0" applyFont="1" applyBorder="1" applyAlignment="1">
      <alignment horizontal="center" vertical="center" wrapText="1"/>
    </xf>
    <xf numFmtId="3" fontId="2" fillId="0" borderId="27" xfId="1" applyNumberFormat="1" applyFont="1" applyFill="1" applyBorder="1" applyAlignment="1">
      <alignment horizontal="center" vertical="center" wrapText="1"/>
    </xf>
    <xf numFmtId="3" fontId="2" fillId="0" borderId="28" xfId="1" applyNumberFormat="1" applyFont="1" applyFill="1" applyBorder="1" applyAlignment="1">
      <alignment horizontal="center" vertical="center" wrapText="1"/>
    </xf>
    <xf numFmtId="3" fontId="2" fillId="0" borderId="29" xfId="0" applyNumberFormat="1" applyFont="1" applyFill="1" applyBorder="1" applyAlignment="1">
      <alignment horizontal="center" vertical="center" wrapText="1"/>
    </xf>
    <xf numFmtId="3" fontId="2" fillId="0" borderId="27" xfId="0" applyNumberFormat="1" applyFont="1" applyFill="1" applyBorder="1" applyAlignment="1">
      <alignment horizontal="center" vertical="center" wrapText="1"/>
    </xf>
    <xf numFmtId="10" fontId="2" fillId="0" borderId="28" xfId="0" applyNumberFormat="1" applyFont="1" applyFill="1" applyBorder="1" applyAlignment="1">
      <alignment horizontal="center" vertical="center" wrapText="1"/>
    </xf>
    <xf numFmtId="3" fontId="2" fillId="0" borderId="29" xfId="1" applyNumberFormat="1" applyFont="1" applyFill="1" applyBorder="1" applyAlignment="1">
      <alignment horizontal="center" vertical="center" wrapText="1"/>
    </xf>
    <xf numFmtId="10" fontId="2" fillId="0" borderId="28" xfId="0" applyNumberFormat="1" applyFont="1" applyBorder="1" applyAlignment="1">
      <alignment horizontal="center" vertical="center" wrapText="1"/>
    </xf>
    <xf numFmtId="0" fontId="2" fillId="0" borderId="29" xfId="0" applyFont="1" applyBorder="1" applyAlignment="1">
      <alignment horizontal="center" vertical="center"/>
    </xf>
    <xf numFmtId="3" fontId="2" fillId="2" borderId="27" xfId="1" applyNumberFormat="1" applyFont="1" applyFill="1" applyBorder="1" applyAlignment="1">
      <alignment horizontal="center" vertical="center" wrapText="1"/>
    </xf>
    <xf numFmtId="0" fontId="2" fillId="7" borderId="1" xfId="0" applyFont="1" applyFill="1" applyBorder="1" applyAlignment="1">
      <alignment horizontal="center" vertical="center"/>
    </xf>
    <xf numFmtId="0" fontId="7" fillId="10" borderId="30" xfId="0" applyFont="1" applyFill="1" applyBorder="1" applyAlignment="1">
      <alignment vertical="center" wrapText="1"/>
    </xf>
    <xf numFmtId="0" fontId="7" fillId="10" borderId="30" xfId="0" applyFont="1" applyFill="1" applyBorder="1" applyAlignment="1">
      <alignment horizontal="center" vertical="center" wrapText="1"/>
    </xf>
    <xf numFmtId="0" fontId="8" fillId="11" borderId="0" xfId="0" applyFont="1" applyFill="1" applyAlignment="1">
      <alignment vertical="center" wrapText="1"/>
    </xf>
    <xf numFmtId="0" fontId="8" fillId="11" borderId="0" xfId="0" applyFont="1" applyFill="1" applyAlignment="1">
      <alignment horizontal="center" vertical="center" wrapText="1"/>
    </xf>
    <xf numFmtId="0" fontId="8" fillId="12" borderId="0" xfId="0" applyFont="1" applyFill="1" applyAlignment="1">
      <alignment vertical="center" wrapText="1"/>
    </xf>
    <xf numFmtId="0" fontId="8" fillId="12" borderId="0" xfId="0" applyFont="1" applyFill="1" applyAlignment="1">
      <alignment horizontal="center" vertical="center" wrapText="1"/>
    </xf>
    <xf numFmtId="0" fontId="7" fillId="10" borderId="31" xfId="0" applyFont="1" applyFill="1" applyBorder="1" applyAlignment="1">
      <alignment vertical="center" wrapText="1"/>
    </xf>
    <xf numFmtId="0" fontId="7" fillId="10" borderId="31" xfId="0" applyFont="1" applyFill="1" applyBorder="1" applyAlignment="1">
      <alignment horizontal="center" vertical="center" wrapText="1"/>
    </xf>
    <xf numFmtId="0" fontId="6" fillId="0" borderId="0" xfId="0" applyFont="1" applyAlignment="1">
      <alignment horizontal="justify" vertical="center"/>
    </xf>
    <xf numFmtId="0" fontId="8" fillId="11" borderId="31" xfId="0" applyFont="1" applyFill="1" applyBorder="1" applyAlignment="1">
      <alignment vertical="center" wrapText="1"/>
    </xf>
    <xf numFmtId="0" fontId="8" fillId="11" borderId="31" xfId="0" applyFont="1" applyFill="1" applyBorder="1" applyAlignment="1">
      <alignment horizontal="center" vertical="center" wrapText="1"/>
    </xf>
    <xf numFmtId="9" fontId="8" fillId="12" borderId="0" xfId="0" applyNumberFormat="1" applyFont="1" applyFill="1" applyAlignment="1">
      <alignment horizontal="center" vertical="center" wrapText="1"/>
    </xf>
    <xf numFmtId="9" fontId="8" fillId="11" borderId="0" xfId="0" applyNumberFormat="1" applyFont="1" applyFill="1" applyAlignment="1">
      <alignment horizontal="center" vertical="center" wrapText="1"/>
    </xf>
    <xf numFmtId="0" fontId="8" fillId="12" borderId="31" xfId="0" applyFont="1" applyFill="1" applyBorder="1" applyAlignment="1">
      <alignment vertical="center" wrapText="1"/>
    </xf>
    <xf numFmtId="0" fontId="8" fillId="12" borderId="0" xfId="0" applyFont="1" applyFill="1" applyBorder="1" applyAlignment="1">
      <alignment horizontal="center" vertical="center" wrapText="1"/>
    </xf>
    <xf numFmtId="0" fontId="8" fillId="11" borderId="0" xfId="0" applyFont="1" applyFill="1" applyBorder="1" applyAlignment="1">
      <alignment horizontal="center" vertical="center" wrapText="1"/>
    </xf>
    <xf numFmtId="9" fontId="8" fillId="12" borderId="31" xfId="3" applyFont="1" applyFill="1" applyBorder="1" applyAlignment="1">
      <alignment horizontal="center" vertical="center" wrapText="1"/>
    </xf>
    <xf numFmtId="9" fontId="8" fillId="12" borderId="0" xfId="3" applyFont="1" applyFill="1" applyAlignment="1">
      <alignment horizontal="center" vertical="center" wrapText="1"/>
    </xf>
    <xf numFmtId="9" fontId="8" fillId="11" borderId="0" xfId="3" applyFont="1" applyFill="1" applyAlignment="1">
      <alignment horizontal="center" vertical="center" wrapText="1"/>
    </xf>
    <xf numFmtId="0" fontId="9" fillId="13" borderId="31" xfId="0" applyFont="1" applyFill="1" applyBorder="1" applyAlignment="1">
      <alignment vertical="center" wrapText="1"/>
    </xf>
    <xf numFmtId="0" fontId="9" fillId="13" borderId="31" xfId="0" applyFont="1" applyFill="1" applyBorder="1" applyAlignment="1">
      <alignment horizontal="center" vertical="center" wrapText="1"/>
    </xf>
    <xf numFmtId="171" fontId="8" fillId="11" borderId="0" xfId="0" applyNumberFormat="1" applyFont="1" applyFill="1" applyAlignment="1">
      <alignment horizontal="center" vertical="center" wrapText="1"/>
    </xf>
    <xf numFmtId="0" fontId="10" fillId="9" borderId="1" xfId="0" applyFont="1" applyFill="1" applyBorder="1"/>
    <xf numFmtId="0" fontId="6" fillId="0" borderId="0" xfId="0" applyFont="1"/>
    <xf numFmtId="0" fontId="6" fillId="0" borderId="1" xfId="0" applyFont="1" applyBorder="1"/>
    <xf numFmtId="0" fontId="6" fillId="0" borderId="0" xfId="0" applyFont="1" applyBorder="1"/>
    <xf numFmtId="0" fontId="11" fillId="0" borderId="0" xfId="0" applyFont="1" applyAlignment="1">
      <alignment vertical="center"/>
    </xf>
    <xf numFmtId="0" fontId="6" fillId="0" borderId="0" xfId="0" applyFont="1" applyAlignment="1">
      <alignment vertical="center"/>
    </xf>
    <xf numFmtId="171" fontId="8" fillId="4" borderId="0" xfId="0" applyNumberFormat="1" applyFont="1" applyFill="1" applyAlignment="1">
      <alignment horizontal="center" vertical="center" wrapText="1"/>
    </xf>
    <xf numFmtId="0" fontId="6" fillId="0" borderId="0" xfId="0" applyFont="1" applyBorder="1" applyAlignment="1">
      <alignment vertical="center"/>
    </xf>
    <xf numFmtId="0" fontId="11" fillId="0" borderId="0" xfId="0" applyFont="1" applyBorder="1" applyAlignment="1">
      <alignment vertical="center"/>
    </xf>
    <xf numFmtId="0" fontId="12" fillId="0" borderId="1" xfId="0" applyFont="1" applyBorder="1"/>
    <xf numFmtId="0" fontId="2" fillId="0" borderId="1" xfId="0" applyFont="1" applyBorder="1"/>
    <xf numFmtId="0" fontId="3" fillId="0" borderId="3" xfId="0" applyFont="1" applyBorder="1" applyAlignment="1">
      <alignment horizontal="center" vertical="center" wrapText="1"/>
    </xf>
    <xf numFmtId="0" fontId="7" fillId="10" borderId="0" xfId="0" applyFont="1" applyFill="1" applyBorder="1" applyAlignment="1">
      <alignment vertical="center" wrapText="1"/>
    </xf>
    <xf numFmtId="0" fontId="7" fillId="10" borderId="0" xfId="0" applyFont="1" applyFill="1" applyBorder="1" applyAlignment="1">
      <alignment horizontal="center" vertical="center" wrapText="1"/>
    </xf>
    <xf numFmtId="0" fontId="8" fillId="11" borderId="0" xfId="0" applyFont="1" applyFill="1" applyBorder="1" applyAlignment="1">
      <alignment vertical="center" wrapText="1"/>
    </xf>
    <xf numFmtId="0" fontId="8" fillId="12" borderId="0" xfId="0" applyFont="1" applyFill="1" applyBorder="1" applyAlignment="1">
      <alignment vertical="center" wrapText="1"/>
    </xf>
    <xf numFmtId="0" fontId="9" fillId="13" borderId="32" xfId="0" applyFont="1" applyFill="1" applyBorder="1" applyAlignment="1">
      <alignment vertical="center" wrapText="1"/>
    </xf>
    <xf numFmtId="0" fontId="9" fillId="13" borderId="32" xfId="0" applyFont="1" applyFill="1" applyBorder="1" applyAlignment="1">
      <alignment horizontal="center" vertical="center" wrapText="1"/>
    </xf>
    <xf numFmtId="0" fontId="6" fillId="0" borderId="32" xfId="0" applyFont="1" applyBorder="1"/>
    <xf numFmtId="0" fontId="10" fillId="9" borderId="1" xfId="0" applyFont="1" applyFill="1" applyBorder="1" applyAlignment="1">
      <alignment horizontal="center" vertical="center"/>
    </xf>
    <xf numFmtId="0" fontId="6" fillId="0" borderId="1" xfId="0" applyFont="1" applyBorder="1" applyAlignment="1">
      <alignment horizontal="center" vertical="center"/>
    </xf>
    <xf numFmtId="0" fontId="12" fillId="0" borderId="1" xfId="0" applyFont="1" applyBorder="1" applyAlignment="1">
      <alignment horizontal="center" vertical="center"/>
    </xf>
    <xf numFmtId="0" fontId="12" fillId="0" borderId="33" xfId="0" applyFont="1" applyBorder="1" applyAlignment="1">
      <alignment horizontal="center" vertical="center" wrapText="1"/>
    </xf>
    <xf numFmtId="0" fontId="6" fillId="0" borderId="0" xfId="0" applyFont="1" applyAlignment="1">
      <alignment horizontal="center" vertical="center"/>
    </xf>
    <xf numFmtId="164" fontId="6" fillId="0" borderId="0" xfId="1" applyFont="1"/>
    <xf numFmtId="164" fontId="6" fillId="0" borderId="1" xfId="1" applyFont="1" applyBorder="1" applyAlignment="1">
      <alignment horizontal="center" vertical="center" wrapText="1"/>
    </xf>
    <xf numFmtId="0" fontId="6" fillId="0" borderId="0" xfId="0" applyFont="1" applyAlignment="1">
      <alignment horizontal="center" vertical="center" wrapText="1"/>
    </xf>
    <xf numFmtId="164" fontId="6" fillId="8" borderId="1" xfId="1" applyFont="1" applyFill="1" applyBorder="1" applyAlignment="1">
      <alignment horizontal="center" vertical="center" wrapText="1"/>
    </xf>
    <xf numFmtId="3" fontId="6" fillId="8" borderId="1" xfId="1" applyNumberFormat="1" applyFont="1" applyFill="1" applyBorder="1" applyAlignment="1">
      <alignment horizontal="center" vertical="center" wrapText="1"/>
    </xf>
    <xf numFmtId="49" fontId="6" fillId="8" borderId="1" xfId="0" applyNumberFormat="1" applyFont="1" applyFill="1" applyBorder="1" applyAlignment="1">
      <alignment horizontal="center" vertical="center" wrapText="1"/>
    </xf>
    <xf numFmtId="0" fontId="6" fillId="8" borderId="1" xfId="0" applyFont="1" applyFill="1" applyBorder="1" applyAlignment="1">
      <alignment horizontal="center" vertical="center" wrapText="1"/>
    </xf>
    <xf numFmtId="12" fontId="6" fillId="8" borderId="1" xfId="1" applyNumberFormat="1" applyFont="1" applyFill="1" applyBorder="1" applyAlignment="1">
      <alignment horizontal="center" vertical="center" wrapText="1"/>
    </xf>
    <xf numFmtId="0" fontId="6" fillId="8" borderId="1" xfId="0" applyFont="1" applyFill="1" applyBorder="1" applyAlignment="1">
      <alignment horizontal="center" vertical="center"/>
    </xf>
    <xf numFmtId="165" fontId="6" fillId="8" borderId="1" xfId="1" applyNumberFormat="1" applyFont="1" applyFill="1" applyBorder="1" applyAlignment="1">
      <alignment horizontal="center" vertical="center" wrapText="1"/>
    </xf>
    <xf numFmtId="164" fontId="6" fillId="8" borderId="1" xfId="1" applyFont="1" applyFill="1" applyBorder="1" applyAlignment="1">
      <alignment horizontal="center"/>
    </xf>
    <xf numFmtId="3" fontId="6" fillId="8" borderId="1" xfId="0" applyNumberFormat="1" applyFont="1" applyFill="1" applyBorder="1" applyAlignment="1">
      <alignment horizontal="center"/>
    </xf>
    <xf numFmtId="164" fontId="13" fillId="0" borderId="1" xfId="1" applyFont="1" applyBorder="1" applyAlignment="1">
      <alignment horizontal="center" vertical="center" wrapText="1"/>
    </xf>
    <xf numFmtId="0" fontId="10" fillId="0" borderId="1" xfId="0" applyFont="1" applyFill="1" applyBorder="1" applyAlignment="1">
      <alignment horizontal="center" vertical="center"/>
    </xf>
    <xf numFmtId="0" fontId="6" fillId="8" borderId="1" xfId="0" applyFont="1" applyFill="1" applyBorder="1" applyAlignment="1">
      <alignment horizontal="center"/>
    </xf>
    <xf numFmtId="164" fontId="6" fillId="0" borderId="2" xfId="1" applyFont="1" applyBorder="1" applyAlignment="1">
      <alignment horizontal="center" vertical="center" wrapText="1"/>
    </xf>
    <xf numFmtId="0" fontId="6" fillId="8" borderId="2" xfId="0" applyFont="1" applyFill="1" applyBorder="1" applyAlignment="1">
      <alignment horizontal="center"/>
    </xf>
    <xf numFmtId="0" fontId="14" fillId="0" borderId="0" xfId="0" applyFont="1" applyAlignment="1">
      <alignment horizontal="center"/>
    </xf>
    <xf numFmtId="0" fontId="14" fillId="0" borderId="0" xfId="0" applyFont="1"/>
    <xf numFmtId="164" fontId="6" fillId="0" borderId="1" xfId="1" applyFont="1" applyFill="1" applyBorder="1"/>
    <xf numFmtId="0" fontId="6" fillId="0" borderId="1" xfId="0" applyFont="1" applyFill="1" applyBorder="1" applyAlignment="1">
      <alignment horizontal="center"/>
    </xf>
    <xf numFmtId="0" fontId="6"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165" fontId="10" fillId="0" borderId="2" xfId="1" applyNumberFormat="1" applyFont="1" applyBorder="1" applyAlignment="1">
      <alignment horizontal="center" vertical="center" wrapText="1"/>
    </xf>
    <xf numFmtId="164" fontId="6" fillId="4" borderId="1" xfId="1" applyFont="1" applyFill="1" applyBorder="1" applyAlignment="1">
      <alignment horizontal="center"/>
    </xf>
    <xf numFmtId="3" fontId="6" fillId="4" borderId="1" xfId="0" applyNumberFormat="1" applyFont="1" applyFill="1" applyBorder="1" applyAlignment="1">
      <alignment horizontal="center"/>
    </xf>
    <xf numFmtId="0" fontId="6" fillId="4" borderId="1" xfId="0" applyFont="1" applyFill="1" applyBorder="1" applyAlignment="1">
      <alignment horizontal="center"/>
    </xf>
    <xf numFmtId="14" fontId="6" fillId="4" borderId="1" xfId="0" applyNumberFormat="1" applyFont="1" applyFill="1" applyBorder="1" applyAlignment="1">
      <alignment horizontal="center"/>
    </xf>
    <xf numFmtId="0" fontId="15" fillId="0" borderId="1" xfId="0" applyFont="1" applyBorder="1" applyAlignment="1">
      <alignment horizontal="center" vertical="center" wrapText="1"/>
    </xf>
    <xf numFmtId="0" fontId="15" fillId="0" borderId="0" xfId="0" applyFont="1" applyAlignment="1">
      <alignment horizontal="center" vertical="center" wrapText="1"/>
    </xf>
    <xf numFmtId="164" fontId="15" fillId="0" borderId="0" xfId="0" applyNumberFormat="1" applyFont="1" applyAlignment="1">
      <alignment horizontal="center" vertical="center" wrapText="1"/>
    </xf>
    <xf numFmtId="0" fontId="15" fillId="0" borderId="1" xfId="0" applyFont="1" applyFill="1" applyBorder="1" applyAlignment="1">
      <alignment horizontal="center" vertical="center" wrapText="1"/>
    </xf>
    <xf numFmtId="0" fontId="15" fillId="0" borderId="34" xfId="0" applyFont="1" applyFill="1" applyBorder="1" applyAlignment="1">
      <alignment horizontal="center" vertical="center" wrapText="1"/>
    </xf>
    <xf numFmtId="0" fontId="3" fillId="14" borderId="1" xfId="0" applyFont="1" applyFill="1" applyBorder="1" applyAlignment="1">
      <alignment horizontal="right"/>
    </xf>
    <xf numFmtId="0" fontId="3" fillId="14" borderId="1" xfId="0" applyFont="1" applyFill="1" applyBorder="1" applyAlignment="1">
      <alignment horizontal="center"/>
    </xf>
    <xf numFmtId="0" fontId="2" fillId="0" borderId="0" xfId="0" applyFont="1" applyAlignment="1">
      <alignment horizontal="center" vertical="center"/>
    </xf>
    <xf numFmtId="164" fontId="3" fillId="0" borderId="1" xfId="1" applyFont="1" applyBorder="1" applyAlignment="1">
      <alignment horizontal="center" vertical="center"/>
    </xf>
    <xf numFmtId="0" fontId="2" fillId="0" borderId="3" xfId="0" applyFont="1" applyBorder="1" applyAlignment="1">
      <alignment horizontal="right"/>
    </xf>
    <xf numFmtId="0" fontId="3" fillId="0" borderId="35" xfId="0" applyFont="1" applyBorder="1" applyAlignment="1">
      <alignment horizontal="center" vertical="center" wrapText="1"/>
    </xf>
    <xf numFmtId="0" fontId="3" fillId="0" borderId="36" xfId="0" applyFont="1" applyBorder="1" applyAlignment="1">
      <alignment horizontal="center" vertical="center" wrapText="1"/>
    </xf>
    <xf numFmtId="0" fontId="3" fillId="0" borderId="37" xfId="0" applyFont="1" applyBorder="1" applyAlignment="1">
      <alignment horizontal="center" vertical="center" wrapText="1"/>
    </xf>
    <xf numFmtId="0" fontId="2" fillId="0" borderId="7" xfId="2" applyFont="1" applyFill="1" applyBorder="1" applyAlignment="1">
      <alignment horizontal="center" vertical="center" wrapText="1"/>
    </xf>
    <xf numFmtId="0" fontId="2" fillId="0" borderId="13" xfId="0" applyFont="1" applyFill="1" applyBorder="1"/>
    <xf numFmtId="0" fontId="2" fillId="0" borderId="16" xfId="2" applyFont="1" applyFill="1" applyBorder="1" applyAlignment="1">
      <alignment horizontal="center" vertical="center" wrapText="1"/>
    </xf>
    <xf numFmtId="0" fontId="2" fillId="0" borderId="22" xfId="0" applyFont="1" applyFill="1" applyBorder="1"/>
    <xf numFmtId="0" fontId="6" fillId="12" borderId="1" xfId="0" applyFont="1" applyFill="1" applyBorder="1" applyAlignment="1">
      <alignment horizontal="center" vertical="center"/>
    </xf>
    <xf numFmtId="0" fontId="6" fillId="12" borderId="1" xfId="0" applyFont="1" applyFill="1" applyBorder="1" applyAlignment="1">
      <alignment horizontal="center" vertical="center" wrapText="1"/>
    </xf>
    <xf numFmtId="4" fontId="2" fillId="6" borderId="1" xfId="0" applyNumberFormat="1" applyFont="1" applyFill="1" applyBorder="1" applyAlignment="1">
      <alignment horizontal="center" vertical="center"/>
    </xf>
    <xf numFmtId="4" fontId="2" fillId="0" borderId="1" xfId="0" applyNumberFormat="1" applyFont="1" applyFill="1" applyBorder="1" applyAlignment="1">
      <alignment horizontal="center" vertical="center"/>
    </xf>
    <xf numFmtId="4" fontId="2" fillId="14" borderId="1" xfId="0" applyNumberFormat="1" applyFont="1" applyFill="1" applyBorder="1" applyAlignment="1">
      <alignment horizontal="center" vertical="center"/>
    </xf>
    <xf numFmtId="0" fontId="10" fillId="0" borderId="3" xfId="0" applyFont="1" applyBorder="1" applyAlignment="1"/>
    <xf numFmtId="0" fontId="8" fillId="12" borderId="39" xfId="0" applyFont="1" applyFill="1" applyBorder="1" applyAlignment="1">
      <alignment vertical="center"/>
    </xf>
    <xf numFmtId="0" fontId="10" fillId="4" borderId="1" xfId="0" applyFont="1" applyFill="1" applyBorder="1" applyAlignment="1">
      <alignment horizontal="center" vertical="center"/>
    </xf>
    <xf numFmtId="0" fontId="18" fillId="0" borderId="41" xfId="0" applyFont="1" applyBorder="1" applyAlignment="1">
      <alignment vertical="center"/>
    </xf>
    <xf numFmtId="0" fontId="9" fillId="12" borderId="1" xfId="0" applyFont="1" applyFill="1" applyBorder="1" applyAlignment="1">
      <alignment horizontal="left" vertical="center"/>
    </xf>
    <xf numFmtId="0" fontId="7" fillId="10" borderId="43" xfId="0" applyFont="1" applyFill="1" applyBorder="1" applyAlignment="1">
      <alignment vertical="center"/>
    </xf>
    <xf numFmtId="0" fontId="7" fillId="10" borderId="43" xfId="0" applyFont="1" applyFill="1" applyBorder="1" applyAlignment="1">
      <alignment horizontal="center" vertical="center"/>
    </xf>
    <xf numFmtId="0" fontId="8" fillId="11" borderId="44" xfId="0" applyFont="1" applyFill="1" applyBorder="1" applyAlignment="1">
      <alignment vertical="center"/>
    </xf>
    <xf numFmtId="0" fontId="8" fillId="12" borderId="44" xfId="0" applyFont="1" applyFill="1" applyBorder="1" applyAlignment="1">
      <alignment vertical="center"/>
    </xf>
    <xf numFmtId="0" fontId="9" fillId="12" borderId="4" xfId="0" applyFont="1" applyFill="1" applyBorder="1" applyAlignment="1">
      <alignment horizontal="left" vertical="center"/>
    </xf>
    <xf numFmtId="0" fontId="9" fillId="12" borderId="3" xfId="0" applyFont="1" applyFill="1" applyBorder="1" applyAlignment="1">
      <alignment horizontal="left" vertical="center"/>
    </xf>
    <xf numFmtId="0" fontId="8" fillId="12" borderId="0" xfId="0" applyFont="1" applyFill="1" applyAlignment="1">
      <alignment vertical="center"/>
    </xf>
    <xf numFmtId="0" fontId="8" fillId="11" borderId="0" xfId="0" applyFont="1" applyFill="1" applyAlignment="1">
      <alignment vertical="center"/>
    </xf>
    <xf numFmtId="0" fontId="8" fillId="11" borderId="47" xfId="0" applyFont="1" applyFill="1" applyBorder="1" applyAlignment="1">
      <alignment vertical="center"/>
    </xf>
    <xf numFmtId="0" fontId="6" fillId="0" borderId="0" xfId="0" applyFont="1" applyAlignment="1"/>
    <xf numFmtId="0" fontId="8" fillId="15" borderId="38" xfId="0" applyFont="1" applyFill="1" applyBorder="1" applyAlignment="1">
      <alignment vertical="center"/>
    </xf>
    <xf numFmtId="0" fontId="6" fillId="0" borderId="5" xfId="0" applyFont="1" applyBorder="1" applyAlignment="1"/>
    <xf numFmtId="0" fontId="6" fillId="0" borderId="4" xfId="0" applyFont="1" applyBorder="1" applyAlignment="1"/>
    <xf numFmtId="0" fontId="6" fillId="0" borderId="1" xfId="0" applyFont="1" applyBorder="1" applyAlignment="1"/>
    <xf numFmtId="0" fontId="6" fillId="0" borderId="0" xfId="0" applyFont="1" applyBorder="1" applyAlignment="1"/>
    <xf numFmtId="0" fontId="10" fillId="0" borderId="1" xfId="0" applyFont="1" applyBorder="1"/>
    <xf numFmtId="0" fontId="19" fillId="0" borderId="0" xfId="0" applyFont="1" applyAlignment="1">
      <alignment vertical="center"/>
    </xf>
    <xf numFmtId="0" fontId="8" fillId="0" borderId="38" xfId="0" applyFont="1" applyBorder="1" applyAlignment="1">
      <alignment vertical="center"/>
    </xf>
    <xf numFmtId="0" fontId="6" fillId="8" borderId="1" xfId="0" applyFont="1" applyFill="1" applyBorder="1"/>
    <xf numFmtId="166" fontId="2" fillId="8" borderId="1" xfId="0" applyNumberFormat="1" applyFont="1" applyFill="1" applyBorder="1" applyAlignment="1">
      <alignment horizontal="center" vertical="center" wrapText="1"/>
    </xf>
    <xf numFmtId="167" fontId="2" fillId="8" borderId="1" xfId="0" applyNumberFormat="1" applyFont="1" applyFill="1" applyBorder="1" applyAlignment="1">
      <alignment horizontal="center" vertical="center" wrapText="1"/>
    </xf>
    <xf numFmtId="3" fontId="2" fillId="8" borderId="1" xfId="0" applyNumberFormat="1" applyFont="1" applyFill="1" applyBorder="1" applyAlignment="1">
      <alignment horizontal="center" vertical="center" wrapText="1"/>
    </xf>
    <xf numFmtId="10" fontId="2" fillId="8" borderId="1" xfId="0" applyNumberFormat="1" applyFont="1" applyFill="1" applyBorder="1" applyAlignment="1">
      <alignment horizontal="center" vertical="center" wrapText="1"/>
    </xf>
    <xf numFmtId="0" fontId="8" fillId="11" borderId="59" xfId="0" applyFont="1" applyFill="1" applyBorder="1" applyAlignment="1">
      <alignment vertical="center" wrapText="1"/>
    </xf>
    <xf numFmtId="0" fontId="8" fillId="11" borderId="47" xfId="0" applyFont="1" applyFill="1" applyBorder="1" applyAlignment="1">
      <alignment vertical="center" wrapText="1"/>
    </xf>
    <xf numFmtId="0" fontId="8" fillId="11" borderId="59" xfId="0" applyFont="1" applyFill="1" applyBorder="1" applyAlignment="1">
      <alignment vertical="center"/>
    </xf>
    <xf numFmtId="0" fontId="0" fillId="0" borderId="0" xfId="0" applyAlignment="1">
      <alignment vertical="center"/>
    </xf>
    <xf numFmtId="0" fontId="9" fillId="0" borderId="59" xfId="0" applyFont="1" applyBorder="1" applyAlignment="1">
      <alignment vertical="center" wrapText="1"/>
    </xf>
    <xf numFmtId="0" fontId="9" fillId="0" borderId="0" xfId="0" applyFont="1" applyAlignment="1">
      <alignment vertical="center" wrapText="1"/>
    </xf>
    <xf numFmtId="0" fontId="9" fillId="0" borderId="50" xfId="0" applyFont="1" applyBorder="1" applyAlignment="1">
      <alignment vertical="center" wrapText="1"/>
    </xf>
    <xf numFmtId="0" fontId="2" fillId="0" borderId="0" xfId="0" applyNumberFormat="1" applyFont="1" applyProtection="1">
      <protection locked="0"/>
    </xf>
    <xf numFmtId="0" fontId="24" fillId="0" borderId="0" xfId="0" applyFont="1"/>
    <xf numFmtId="0" fontId="25" fillId="0" borderId="0" xfId="0" applyFont="1" applyFill="1" applyBorder="1"/>
    <xf numFmtId="4" fontId="25" fillId="0" borderId="0" xfId="0" applyNumberFormat="1" applyFont="1" applyFill="1" applyBorder="1" applyAlignment="1">
      <alignment horizontal="left" vertical="center"/>
    </xf>
    <xf numFmtId="0" fontId="3" fillId="0" borderId="0" xfId="0" applyFont="1" applyAlignment="1">
      <alignment vertical="center"/>
    </xf>
    <xf numFmtId="0" fontId="3" fillId="0" borderId="0" xfId="0" applyFont="1"/>
    <xf numFmtId="0" fontId="2" fillId="0" borderId="0" xfId="0" applyFont="1" applyAlignment="1"/>
    <xf numFmtId="0" fontId="3" fillId="0" borderId="0" xfId="0" applyFont="1" applyAlignment="1"/>
    <xf numFmtId="0" fontId="16" fillId="2" borderId="1" xfId="0" applyFont="1" applyFill="1" applyBorder="1" applyAlignment="1">
      <alignment horizontal="center" vertical="center"/>
    </xf>
    <xf numFmtId="0" fontId="3" fillId="0" borderId="1" xfId="0" applyFont="1" applyBorder="1"/>
    <xf numFmtId="0" fontId="2" fillId="0" borderId="48" xfId="0" applyFont="1" applyBorder="1"/>
    <xf numFmtId="0" fontId="2" fillId="0" borderId="1" xfId="0" applyFont="1" applyBorder="1" applyAlignment="1">
      <alignment horizontal="center"/>
    </xf>
    <xf numFmtId="0" fontId="8" fillId="0" borderId="0" xfId="0" applyFont="1"/>
    <xf numFmtId="0" fontId="16" fillId="0" borderId="0" xfId="0" applyFont="1" applyBorder="1" applyAlignment="1">
      <alignment horizontal="center" vertical="center"/>
    </xf>
    <xf numFmtId="10" fontId="6" fillId="0" borderId="0" xfId="0" applyNumberFormat="1" applyFont="1"/>
    <xf numFmtId="0" fontId="6" fillId="0" borderId="0" xfId="0" applyFont="1" applyAlignment="1">
      <alignment wrapText="1"/>
    </xf>
    <xf numFmtId="0" fontId="10" fillId="16" borderId="70" xfId="0" applyFont="1" applyFill="1" applyBorder="1" applyAlignment="1">
      <alignment horizontal="center" vertical="center"/>
    </xf>
    <xf numFmtId="0" fontId="10" fillId="16" borderId="4" xfId="0" quotePrefix="1" applyFont="1" applyFill="1" applyBorder="1" applyAlignment="1">
      <alignment horizontal="center" vertical="center"/>
    </xf>
    <xf numFmtId="0" fontId="10" fillId="16" borderId="73" xfId="0" quotePrefix="1" applyFont="1" applyFill="1" applyBorder="1" applyAlignment="1">
      <alignment horizontal="center" vertical="center"/>
    </xf>
    <xf numFmtId="0" fontId="10" fillId="16" borderId="71" xfId="0" applyFont="1" applyFill="1" applyBorder="1" applyAlignment="1">
      <alignment horizontal="center" vertical="center"/>
    </xf>
    <xf numFmtId="0" fontId="10" fillId="16" borderId="72" xfId="0" applyFont="1" applyFill="1" applyBorder="1" applyAlignment="1">
      <alignment horizontal="center" vertical="center"/>
    </xf>
    <xf numFmtId="0" fontId="10" fillId="16" borderId="1" xfId="0" applyFont="1" applyFill="1" applyBorder="1" applyAlignment="1">
      <alignment horizontal="center" vertical="center"/>
    </xf>
    <xf numFmtId="0" fontId="10" fillId="16" borderId="1" xfId="0" applyFont="1" applyFill="1" applyBorder="1" applyAlignment="1">
      <alignment horizontal="center" vertical="center" wrapText="1"/>
    </xf>
    <xf numFmtId="10" fontId="6" fillId="0" borderId="1" xfId="0" applyNumberFormat="1" applyFont="1" applyBorder="1" applyAlignment="1">
      <alignment horizontal="center" vertical="center"/>
    </xf>
    <xf numFmtId="0" fontId="6" fillId="8" borderId="1" xfId="5" applyFont="1" applyFill="1" applyBorder="1" applyAlignment="1">
      <alignment horizontal="center" vertical="center"/>
    </xf>
    <xf numFmtId="172" fontId="6" fillId="14" borderId="1" xfId="5" applyNumberFormat="1" applyFont="1" applyFill="1" applyBorder="1" applyAlignment="1">
      <alignment horizontal="center" vertical="center"/>
    </xf>
    <xf numFmtId="172" fontId="6" fillId="14" borderId="2" xfId="5" applyNumberFormat="1" applyFont="1" applyFill="1" applyBorder="1" applyAlignment="1">
      <alignment horizontal="center" vertical="center"/>
    </xf>
    <xf numFmtId="2" fontId="6" fillId="0" borderId="3" xfId="4" applyNumberFormat="1" applyFont="1" applyFill="1" applyBorder="1" applyAlignment="1">
      <alignment horizontal="center" vertical="center"/>
    </xf>
    <xf numFmtId="2" fontId="6" fillId="0" borderId="74" xfId="4" applyNumberFormat="1" applyFont="1" applyFill="1" applyBorder="1" applyAlignment="1">
      <alignment horizontal="center" vertical="center"/>
    </xf>
    <xf numFmtId="2" fontId="6" fillId="0" borderId="1" xfId="4" applyNumberFormat="1" applyFont="1" applyFill="1" applyBorder="1" applyAlignment="1">
      <alignment horizontal="center" vertical="center"/>
    </xf>
    <xf numFmtId="0" fontId="0" fillId="0" borderId="0" xfId="0" applyFill="1" applyAlignment="1">
      <alignment vertical="center"/>
    </xf>
    <xf numFmtId="0" fontId="8" fillId="0" borderId="0" xfId="0" applyFont="1" applyFill="1" applyBorder="1" applyAlignment="1">
      <alignment vertical="center"/>
    </xf>
    <xf numFmtId="0" fontId="20" fillId="0" borderId="0" xfId="0" applyFont="1" applyFill="1" applyBorder="1" applyAlignment="1">
      <alignment horizontal="center" vertical="center" wrapText="1"/>
    </xf>
    <xf numFmtId="0" fontId="7" fillId="0" borderId="0" xfId="0" applyFont="1" applyFill="1" applyBorder="1" applyAlignment="1">
      <alignment vertical="center" wrapText="1"/>
    </xf>
    <xf numFmtId="4" fontId="8" fillId="0" borderId="0" xfId="0" quotePrefix="1" applyNumberFormat="1" applyFont="1" applyFill="1" applyBorder="1" applyAlignment="1">
      <alignment vertical="center"/>
    </xf>
    <xf numFmtId="4" fontId="8" fillId="0" borderId="0" xfId="0" applyNumberFormat="1" applyFont="1" applyFill="1" applyBorder="1" applyAlignment="1">
      <alignment vertical="center" wrapText="1"/>
    </xf>
    <xf numFmtId="0" fontId="21" fillId="0" borderId="0" xfId="0" applyFont="1" applyFill="1" applyBorder="1" applyAlignment="1">
      <alignment horizontal="justify" vertical="center" wrapText="1"/>
    </xf>
    <xf numFmtId="0" fontId="8" fillId="0" borderId="0" xfId="0" applyFont="1" applyFill="1" applyBorder="1" applyAlignment="1">
      <alignment horizontal="left" vertical="top" wrapText="1"/>
    </xf>
    <xf numFmtId="0" fontId="21" fillId="0" borderId="0" xfId="0" applyFont="1" applyFill="1" applyBorder="1" applyAlignment="1">
      <alignment horizontal="left" vertical="center" wrapText="1"/>
    </xf>
    <xf numFmtId="0" fontId="7"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4" fontId="8" fillId="0" borderId="0" xfId="0" applyNumberFormat="1" applyFont="1" applyFill="1" applyBorder="1" applyAlignment="1">
      <alignment horizontal="center" vertical="center" wrapText="1"/>
    </xf>
    <xf numFmtId="0" fontId="8" fillId="0" borderId="0" xfId="0" applyFont="1" applyFill="1" applyBorder="1" applyAlignment="1">
      <alignment horizontal="left" vertical="center" wrapText="1"/>
    </xf>
    <xf numFmtId="0" fontId="22" fillId="12" borderId="1" xfId="0" applyFont="1" applyFill="1" applyBorder="1" applyAlignment="1">
      <alignment horizontal="center" vertical="center"/>
    </xf>
    <xf numFmtId="4" fontId="2" fillId="0" borderId="1" xfId="0" applyNumberFormat="1" applyFont="1" applyBorder="1" applyAlignment="1">
      <alignment horizontal="center"/>
    </xf>
    <xf numFmtId="0" fontId="2" fillId="0" borderId="0" xfId="0" applyFont="1" applyAlignment="1">
      <alignment horizontal="center"/>
    </xf>
    <xf numFmtId="0" fontId="27" fillId="12" borderId="1" xfId="0" applyFont="1" applyFill="1" applyBorder="1" applyAlignment="1">
      <alignment horizontal="center" vertical="center"/>
    </xf>
    <xf numFmtId="0" fontId="22" fillId="12" borderId="1" xfId="0" applyFont="1" applyFill="1" applyBorder="1" applyAlignment="1">
      <alignment horizontal="right" vertical="center"/>
    </xf>
    <xf numFmtId="0" fontId="2" fillId="4" borderId="1" xfId="0" applyFont="1" applyFill="1" applyBorder="1" applyAlignment="1">
      <alignment horizontal="center"/>
    </xf>
    <xf numFmtId="0" fontId="22" fillId="11" borderId="78" xfId="0" applyFont="1" applyFill="1" applyBorder="1" applyAlignment="1">
      <alignment horizontal="center" vertical="center" wrapText="1"/>
    </xf>
    <xf numFmtId="0" fontId="22" fillId="12" borderId="78" xfId="0" applyFont="1" applyFill="1" applyBorder="1" applyAlignment="1">
      <alignment horizontal="center" vertical="center" wrapText="1"/>
    </xf>
    <xf numFmtId="0" fontId="22" fillId="12" borderId="39" xfId="0" applyFont="1" applyFill="1" applyBorder="1" applyAlignment="1">
      <alignment horizontal="center" vertical="center" wrapText="1"/>
    </xf>
    <xf numFmtId="0" fontId="22" fillId="11" borderId="78" xfId="0" applyFont="1" applyFill="1" applyBorder="1" applyAlignment="1">
      <alignment vertical="top" wrapText="1"/>
    </xf>
    <xf numFmtId="0" fontId="22" fillId="12" borderId="78" xfId="0" applyFont="1" applyFill="1" applyBorder="1" applyAlignment="1">
      <alignment vertical="top" wrapText="1"/>
    </xf>
    <xf numFmtId="0" fontId="22" fillId="12" borderId="39" xfId="0" applyFont="1" applyFill="1" applyBorder="1" applyAlignment="1">
      <alignment vertical="top" wrapText="1"/>
    </xf>
    <xf numFmtId="0" fontId="22" fillId="11" borderId="78" xfId="0" quotePrefix="1" applyFont="1" applyFill="1" applyBorder="1" applyAlignment="1">
      <alignment horizontal="center" vertical="center" wrapText="1"/>
    </xf>
    <xf numFmtId="4" fontId="22" fillId="11" borderId="78" xfId="0" applyNumberFormat="1" applyFont="1" applyFill="1" applyBorder="1" applyAlignment="1">
      <alignment horizontal="center" vertical="center" wrapText="1"/>
    </xf>
    <xf numFmtId="4" fontId="22" fillId="12" borderId="78" xfId="0" applyNumberFormat="1" applyFont="1" applyFill="1" applyBorder="1" applyAlignment="1">
      <alignment horizontal="center" vertical="center" wrapText="1"/>
    </xf>
    <xf numFmtId="0" fontId="6" fillId="0" borderId="1" xfId="0" applyFont="1" applyFill="1" applyBorder="1" applyAlignment="1">
      <alignment horizontal="left"/>
    </xf>
    <xf numFmtId="0" fontId="28" fillId="0" borderId="0" xfId="0" applyFont="1" applyBorder="1" applyAlignment="1">
      <alignment vertical="center"/>
    </xf>
    <xf numFmtId="0" fontId="6" fillId="0" borderId="0" xfId="0" applyFont="1" applyFill="1" applyAlignment="1"/>
    <xf numFmtId="0" fontId="6" fillId="0" borderId="0" xfId="0" applyFont="1" applyFill="1"/>
    <xf numFmtId="0" fontId="8" fillId="16" borderId="0" xfId="0" applyFont="1" applyFill="1" applyAlignment="1">
      <alignment horizontal="center" vertical="center" wrapText="1"/>
    </xf>
    <xf numFmtId="0" fontId="22" fillId="8" borderId="1" xfId="0" applyFont="1" applyFill="1" applyBorder="1" applyAlignment="1">
      <alignment horizontal="center" vertical="center" wrapText="1"/>
    </xf>
    <xf numFmtId="0" fontId="7" fillId="10" borderId="52" xfId="0" applyFont="1" applyFill="1" applyBorder="1" applyAlignment="1">
      <alignment horizontal="center" vertical="center" wrapText="1"/>
    </xf>
    <xf numFmtId="4" fontId="8" fillId="11" borderId="55" xfId="0" quotePrefix="1" applyNumberFormat="1" applyFont="1" applyFill="1" applyBorder="1" applyAlignment="1">
      <alignment horizontal="center" vertical="center"/>
    </xf>
    <xf numFmtId="4" fontId="8" fillId="12" borderId="45" xfId="0" applyNumberFormat="1" applyFont="1" applyFill="1" applyBorder="1" applyAlignment="1">
      <alignment horizontal="center" vertical="center" wrapText="1"/>
    </xf>
    <xf numFmtId="4" fontId="8" fillId="11" borderId="45" xfId="0" applyNumberFormat="1" applyFont="1" applyFill="1" applyBorder="1" applyAlignment="1">
      <alignment horizontal="center" vertical="center" wrapText="1"/>
    </xf>
    <xf numFmtId="4" fontId="8" fillId="12" borderId="57" xfId="0" applyNumberFormat="1" applyFont="1" applyFill="1" applyBorder="1" applyAlignment="1">
      <alignment horizontal="center" vertical="center" wrapText="1"/>
    </xf>
    <xf numFmtId="0" fontId="2" fillId="0" borderId="25" xfId="0" applyFont="1" applyBorder="1" applyAlignment="1">
      <alignment horizontal="center" vertical="center"/>
    </xf>
    <xf numFmtId="0" fontId="2" fillId="0" borderId="26" xfId="0" applyFont="1" applyBorder="1" applyAlignment="1">
      <alignment horizontal="center" vertical="center"/>
    </xf>
    <xf numFmtId="3" fontId="2" fillId="0" borderId="85" xfId="1" applyNumberFormat="1" applyFont="1" applyFill="1" applyBorder="1" applyAlignment="1">
      <alignment horizontal="center" vertical="center" wrapText="1"/>
    </xf>
    <xf numFmtId="164" fontId="31" fillId="0" borderId="0" xfId="0" applyNumberFormat="1" applyFont="1" applyAlignment="1">
      <alignment horizontal="center" vertical="center" wrapText="1"/>
    </xf>
    <xf numFmtId="0" fontId="2" fillId="14" borderId="1" xfId="0" applyFont="1" applyFill="1" applyBorder="1" applyAlignment="1">
      <alignment horizontal="center" vertical="center"/>
    </xf>
    <xf numFmtId="3" fontId="2" fillId="14" borderId="24" xfId="1" applyNumberFormat="1" applyFont="1" applyFill="1" applyBorder="1" applyAlignment="1">
      <alignment horizontal="center" vertical="center" wrapText="1"/>
    </xf>
    <xf numFmtId="0" fontId="6" fillId="14" borderId="1" xfId="0" applyFont="1" applyFill="1" applyBorder="1" applyAlignment="1">
      <alignment horizontal="center"/>
    </xf>
    <xf numFmtId="0" fontId="10" fillId="0" borderId="4" xfId="0" applyFont="1" applyBorder="1"/>
    <xf numFmtId="173" fontId="6" fillId="8" borderId="1" xfId="1" applyNumberFormat="1" applyFont="1" applyFill="1" applyBorder="1" applyAlignment="1">
      <alignment horizontal="center" vertical="center" wrapText="1"/>
    </xf>
    <xf numFmtId="0" fontId="7" fillId="10" borderId="43" xfId="0" applyFont="1" applyFill="1" applyBorder="1" applyAlignment="1">
      <alignment horizontal="center" vertical="center"/>
    </xf>
    <xf numFmtId="0" fontId="22" fillId="8" borderId="1" xfId="0" applyFont="1" applyFill="1" applyBorder="1" applyAlignment="1">
      <alignment horizontal="center" vertical="center"/>
    </xf>
    <xf numFmtId="0" fontId="9" fillId="12" borderId="1" xfId="0" applyFont="1" applyFill="1" applyBorder="1" applyAlignment="1">
      <alignment horizontal="center" vertical="center"/>
    </xf>
    <xf numFmtId="174" fontId="2" fillId="0" borderId="1" xfId="1" applyNumberFormat="1" applyFont="1" applyBorder="1" applyAlignment="1">
      <alignment horizontal="center" vertical="center"/>
    </xf>
    <xf numFmtId="0" fontId="34" fillId="0" borderId="0" xfId="0" applyFont="1" applyAlignment="1">
      <alignment horizontal="left"/>
    </xf>
    <xf numFmtId="0" fontId="22" fillId="0" borderId="0" xfId="0" applyFont="1"/>
    <xf numFmtId="0" fontId="10" fillId="2" borderId="1" xfId="0" applyFont="1" applyFill="1" applyBorder="1" applyAlignment="1">
      <alignment horizontal="center" vertical="center"/>
    </xf>
    <xf numFmtId="0" fontId="7" fillId="10" borderId="30" xfId="0" applyFont="1" applyFill="1" applyBorder="1" applyAlignment="1">
      <alignment horizontal="center" vertical="center" wrapText="1"/>
    </xf>
    <xf numFmtId="0" fontId="8" fillId="12" borderId="0" xfId="0" applyFont="1" applyFill="1" applyBorder="1" applyAlignment="1">
      <alignment horizontal="center" vertical="center" wrapText="1"/>
    </xf>
    <xf numFmtId="0" fontId="8" fillId="11" borderId="0" xfId="0" applyFont="1" applyFill="1" applyBorder="1" applyAlignment="1">
      <alignment horizontal="center" vertical="center" wrapText="1"/>
    </xf>
    <xf numFmtId="4" fontId="2" fillId="8" borderId="1" xfId="0" applyNumberFormat="1" applyFont="1" applyFill="1" applyBorder="1" applyAlignment="1">
      <alignment horizontal="center" vertical="center" wrapText="1"/>
    </xf>
    <xf numFmtId="0" fontId="36" fillId="10" borderId="82" xfId="0" applyFont="1" applyFill="1" applyBorder="1" applyAlignment="1">
      <alignment horizontal="center" vertical="center" wrapText="1"/>
    </xf>
    <xf numFmtId="3" fontId="22" fillId="16" borderId="0" xfId="0" applyNumberFormat="1" applyFont="1" applyFill="1" applyAlignment="1">
      <alignment horizontal="center" vertical="center" wrapText="1"/>
    </xf>
    <xf numFmtId="3" fontId="22" fillId="16" borderId="84" xfId="0" applyNumberFormat="1" applyFont="1" applyFill="1" applyBorder="1" applyAlignment="1">
      <alignment horizontal="center" vertical="center" wrapText="1"/>
    </xf>
    <xf numFmtId="0" fontId="22" fillId="16" borderId="0" xfId="0" applyFont="1" applyFill="1" applyAlignment="1">
      <alignment horizontal="center" vertical="center" wrapText="1"/>
    </xf>
    <xf numFmtId="0" fontId="22" fillId="4" borderId="0" xfId="0" applyFont="1" applyFill="1" applyAlignment="1">
      <alignment horizontal="center" vertical="center" wrapText="1"/>
    </xf>
    <xf numFmtId="0" fontId="22" fillId="4" borderId="84" xfId="0" applyFont="1" applyFill="1" applyBorder="1" applyAlignment="1">
      <alignment horizontal="center" vertical="center" wrapText="1"/>
    </xf>
    <xf numFmtId="0" fontId="22" fillId="16" borderId="84" xfId="0" applyFont="1" applyFill="1" applyBorder="1" applyAlignment="1">
      <alignment horizontal="center" vertical="center" wrapText="1"/>
    </xf>
    <xf numFmtId="0" fontId="22" fillId="4" borderId="50" xfId="0" applyFont="1" applyFill="1" applyBorder="1" applyAlignment="1">
      <alignment horizontal="center" vertical="center" wrapText="1"/>
    </xf>
    <xf numFmtId="9" fontId="22" fillId="4" borderId="66" xfId="0" applyNumberFormat="1" applyFont="1" applyFill="1" applyBorder="1" applyAlignment="1">
      <alignment horizontal="center" vertical="center" wrapText="1"/>
    </xf>
    <xf numFmtId="0" fontId="37" fillId="10" borderId="79" xfId="0" applyFont="1" applyFill="1" applyBorder="1" applyAlignment="1">
      <alignment vertical="center" wrapText="1"/>
    </xf>
    <xf numFmtId="0" fontId="36" fillId="10" borderId="79" xfId="0" applyFont="1" applyFill="1" applyBorder="1" applyAlignment="1">
      <alignment horizontal="center" vertical="center" wrapText="1"/>
    </xf>
    <xf numFmtId="0" fontId="37" fillId="10" borderId="86" xfId="0" applyFont="1" applyFill="1" applyBorder="1" applyAlignment="1">
      <alignment vertical="center" wrapText="1"/>
    </xf>
    <xf numFmtId="0" fontId="36" fillId="10" borderId="86" xfId="0" applyFont="1" applyFill="1" applyBorder="1" applyAlignment="1">
      <alignment horizontal="center" vertical="center" wrapText="1"/>
    </xf>
    <xf numFmtId="0" fontId="20" fillId="20" borderId="64" xfId="0" applyFont="1" applyFill="1" applyBorder="1" applyAlignment="1">
      <alignment vertical="center" wrapText="1"/>
    </xf>
    <xf numFmtId="0" fontId="20" fillId="20" borderId="64" xfId="0" applyFont="1" applyFill="1" applyBorder="1" applyAlignment="1">
      <alignment horizontal="center" vertical="center" wrapText="1"/>
    </xf>
    <xf numFmtId="3" fontId="22" fillId="16" borderId="91" xfId="0" applyNumberFormat="1" applyFont="1" applyFill="1" applyBorder="1" applyAlignment="1">
      <alignment horizontal="center" vertical="center" wrapText="1"/>
    </xf>
    <xf numFmtId="0" fontId="22" fillId="4" borderId="91" xfId="0" applyFont="1" applyFill="1" applyBorder="1" applyAlignment="1">
      <alignment horizontal="center" vertical="center" wrapText="1"/>
    </xf>
    <xf numFmtId="0" fontId="22" fillId="16" borderId="91" xfId="0" applyFont="1" applyFill="1" applyBorder="1" applyAlignment="1">
      <alignment horizontal="center" vertical="center" wrapText="1"/>
    </xf>
    <xf numFmtId="9" fontId="22" fillId="16" borderId="91" xfId="0" applyNumberFormat="1" applyFont="1" applyFill="1" applyBorder="1" applyAlignment="1">
      <alignment horizontal="center" vertical="center" wrapText="1"/>
    </xf>
    <xf numFmtId="9" fontId="22" fillId="4" borderId="91" xfId="0" applyNumberFormat="1" applyFont="1" applyFill="1" applyBorder="1" applyAlignment="1">
      <alignment horizontal="center" vertical="center" wrapText="1"/>
    </xf>
    <xf numFmtId="9" fontId="22" fillId="4" borderId="90" xfId="0" applyNumberFormat="1" applyFont="1" applyFill="1" applyBorder="1" applyAlignment="1">
      <alignment horizontal="center" vertical="center" wrapText="1"/>
    </xf>
    <xf numFmtId="9" fontId="22" fillId="16" borderId="92" xfId="0" applyNumberFormat="1" applyFont="1" applyFill="1" applyBorder="1" applyAlignment="1">
      <alignment horizontal="center" vertical="center" wrapText="1"/>
    </xf>
    <xf numFmtId="9" fontId="22" fillId="4" borderId="92" xfId="0" applyNumberFormat="1" applyFont="1" applyFill="1" applyBorder="1" applyAlignment="1">
      <alignment horizontal="center" vertical="center" wrapText="1"/>
    </xf>
    <xf numFmtId="3" fontId="22" fillId="16" borderId="94" xfId="0" applyNumberFormat="1" applyFont="1" applyFill="1" applyBorder="1" applyAlignment="1">
      <alignment horizontal="center" vertical="center" wrapText="1"/>
    </xf>
    <xf numFmtId="0" fontId="22" fillId="4" borderId="94" xfId="0" applyFont="1" applyFill="1" applyBorder="1" applyAlignment="1">
      <alignment horizontal="center" vertical="center" wrapText="1"/>
    </xf>
    <xf numFmtId="0" fontId="22" fillId="16" borderId="94" xfId="0" applyFont="1" applyFill="1" applyBorder="1" applyAlignment="1">
      <alignment horizontal="center" vertical="center" wrapText="1"/>
    </xf>
    <xf numFmtId="0" fontId="22" fillId="4" borderId="93" xfId="0" applyFont="1" applyFill="1" applyBorder="1" applyAlignment="1">
      <alignment horizontal="center" vertical="center" wrapText="1"/>
    </xf>
    <xf numFmtId="0" fontId="22" fillId="16" borderId="94" xfId="0" applyFont="1" applyFill="1" applyBorder="1" applyAlignment="1">
      <alignment vertical="center" wrapText="1"/>
    </xf>
    <xf numFmtId="0" fontId="22" fillId="4" borderId="94" xfId="0" applyFont="1" applyFill="1" applyBorder="1" applyAlignment="1">
      <alignment vertical="center" wrapText="1"/>
    </xf>
    <xf numFmtId="0" fontId="22" fillId="4" borderId="93" xfId="0" applyFont="1" applyFill="1" applyBorder="1" applyAlignment="1">
      <alignment vertical="center" wrapText="1"/>
    </xf>
    <xf numFmtId="2" fontId="8" fillId="11" borderId="44" xfId="0" applyNumberFormat="1" applyFont="1" applyFill="1" applyBorder="1" applyAlignment="1">
      <alignment horizontal="right" vertical="center"/>
    </xf>
    <xf numFmtId="4" fontId="8" fillId="12" borderId="39" xfId="0" applyNumberFormat="1" applyFont="1" applyFill="1" applyBorder="1" applyAlignment="1">
      <alignment horizontal="right"/>
    </xf>
    <xf numFmtId="4" fontId="8" fillId="12" borderId="39" xfId="0" applyNumberFormat="1" applyFont="1" applyFill="1" applyBorder="1" applyAlignment="1">
      <alignment horizontal="left" vertical="center"/>
    </xf>
    <xf numFmtId="4" fontId="8" fillId="12" borderId="39" xfId="0" applyNumberFormat="1" applyFont="1" applyFill="1" applyBorder="1" applyAlignment="1">
      <alignment horizontal="right" vertical="center"/>
    </xf>
    <xf numFmtId="4" fontId="8" fillId="12" borderId="39" xfId="0" applyNumberFormat="1" applyFont="1" applyFill="1" applyBorder="1" applyAlignment="1">
      <alignment horizontal="center" vertical="center"/>
    </xf>
    <xf numFmtId="4" fontId="8" fillId="12" borderId="40" xfId="0" applyNumberFormat="1" applyFont="1" applyFill="1" applyBorder="1" applyAlignment="1">
      <alignment horizontal="left" vertical="center"/>
    </xf>
    <xf numFmtId="2" fontId="6" fillId="0" borderId="0" xfId="0" applyNumberFormat="1" applyFont="1" applyAlignment="1"/>
    <xf numFmtId="2" fontId="8" fillId="4" borderId="44" xfId="3" applyNumberFormat="1" applyFont="1" applyFill="1" applyBorder="1" applyAlignment="1">
      <alignment horizontal="right" vertical="center"/>
    </xf>
    <xf numFmtId="2" fontId="6" fillId="0" borderId="0" xfId="3" applyNumberFormat="1" applyFont="1" applyAlignment="1"/>
    <xf numFmtId="2" fontId="8" fillId="12" borderId="39" xfId="0" applyNumberFormat="1" applyFont="1" applyFill="1" applyBorder="1" applyAlignment="1">
      <alignment horizontal="right" vertical="center"/>
    </xf>
    <xf numFmtId="2" fontId="6" fillId="14" borderId="1" xfId="0" applyNumberFormat="1" applyFont="1" applyFill="1" applyBorder="1" applyAlignment="1">
      <alignment horizontal="center" vertical="center"/>
    </xf>
    <xf numFmtId="3" fontId="8" fillId="12" borderId="39" xfId="0" applyNumberFormat="1" applyFont="1" applyFill="1" applyBorder="1" applyAlignment="1">
      <alignment horizontal="left" vertical="center"/>
    </xf>
    <xf numFmtId="0" fontId="36" fillId="10" borderId="0" xfId="0" applyFont="1" applyFill="1" applyAlignment="1">
      <alignment horizontal="center" vertical="center" wrapText="1"/>
    </xf>
    <xf numFmtId="0" fontId="36" fillId="14" borderId="0" xfId="0" applyFont="1" applyFill="1" applyBorder="1" applyAlignment="1">
      <alignment horizontal="center" vertical="center" wrapText="1"/>
    </xf>
    <xf numFmtId="0" fontId="22" fillId="14" borderId="0" xfId="0" applyFont="1" applyFill="1" applyBorder="1" applyAlignment="1">
      <alignment horizontal="center" vertical="center" wrapText="1"/>
    </xf>
    <xf numFmtId="0" fontId="6" fillId="18" borderId="95" xfId="5" applyFont="1" applyBorder="1"/>
    <xf numFmtId="0" fontId="0" fillId="14" borderId="0" xfId="0" applyFill="1" applyBorder="1"/>
    <xf numFmtId="0" fontId="8" fillId="14" borderId="0" xfId="0" applyFont="1" applyFill="1" applyBorder="1" applyAlignment="1">
      <alignment vertical="center" wrapText="1"/>
    </xf>
    <xf numFmtId="0" fontId="28" fillId="14" borderId="0" xfId="0" applyFont="1" applyFill="1" applyBorder="1" applyAlignment="1">
      <alignment vertical="center" wrapText="1"/>
    </xf>
    <xf numFmtId="0" fontId="41" fillId="14" borderId="0" xfId="0" applyFont="1" applyFill="1" applyBorder="1" applyAlignment="1">
      <alignment horizontal="center" vertical="center"/>
    </xf>
    <xf numFmtId="0" fontId="6" fillId="14" borderId="0" xfId="0" applyFont="1" applyFill="1" applyBorder="1" applyAlignment="1">
      <alignment horizontal="center" vertical="center"/>
    </xf>
    <xf numFmtId="0" fontId="10" fillId="14" borderId="0" xfId="0" applyFont="1" applyFill="1" applyBorder="1" applyAlignment="1">
      <alignment horizontal="center" vertical="center"/>
    </xf>
    <xf numFmtId="9" fontId="2" fillId="16" borderId="0" xfId="3" applyFont="1" applyFill="1" applyAlignment="1">
      <alignment horizontal="center" vertical="center"/>
    </xf>
    <xf numFmtId="0" fontId="2" fillId="16" borderId="0" xfId="0" applyFont="1" applyFill="1" applyAlignment="1">
      <alignment horizontal="center" vertical="center"/>
    </xf>
    <xf numFmtId="0" fontId="2" fillId="4" borderId="0" xfId="0" applyFont="1" applyFill="1" applyAlignment="1">
      <alignment horizontal="center" vertical="center"/>
    </xf>
    <xf numFmtId="0" fontId="2" fillId="0" borderId="5" xfId="0" applyFont="1" applyBorder="1" applyAlignment="1">
      <alignment horizontal="center" vertical="center"/>
    </xf>
    <xf numFmtId="0" fontId="5" fillId="10" borderId="0" xfId="0" applyFont="1" applyFill="1" applyAlignment="1">
      <alignment horizontal="center" vertical="center"/>
    </xf>
    <xf numFmtId="0" fontId="8" fillId="12" borderId="0" xfId="0" applyFont="1" applyFill="1" applyBorder="1" applyAlignment="1">
      <alignment horizontal="right" vertical="top"/>
    </xf>
    <xf numFmtId="0" fontId="8" fillId="11" borderId="44" xfId="0" applyFont="1" applyFill="1" applyBorder="1" applyAlignment="1">
      <alignment horizontal="right" vertical="top"/>
    </xf>
    <xf numFmtId="0" fontId="8" fillId="11" borderId="56" xfId="0" applyFont="1" applyFill="1" applyBorder="1" applyAlignment="1">
      <alignment vertical="center" wrapText="1"/>
    </xf>
    <xf numFmtId="0" fontId="8" fillId="12" borderId="44" xfId="0" applyFont="1" applyFill="1" applyBorder="1" applyAlignment="1">
      <alignment vertical="center" wrapText="1"/>
    </xf>
    <xf numFmtId="0" fontId="8" fillId="12" borderId="49" xfId="0" applyFont="1" applyFill="1" applyBorder="1" applyAlignment="1">
      <alignment vertical="center" wrapText="1"/>
    </xf>
    <xf numFmtId="0" fontId="8" fillId="11" borderId="44" xfId="0" applyFont="1" applyFill="1" applyBorder="1" applyAlignment="1">
      <alignment vertical="center" wrapText="1"/>
    </xf>
    <xf numFmtId="0" fontId="8" fillId="11" borderId="96" xfId="0" applyFont="1" applyFill="1" applyBorder="1" applyAlignment="1">
      <alignment vertical="center" wrapText="1"/>
    </xf>
    <xf numFmtId="0" fontId="8" fillId="12" borderId="97" xfId="0" applyFont="1" applyFill="1" applyBorder="1" applyAlignment="1">
      <alignment vertical="center" wrapText="1"/>
    </xf>
    <xf numFmtId="0" fontId="8" fillId="11" borderId="97" xfId="0" applyFont="1" applyFill="1" applyBorder="1" applyAlignment="1">
      <alignment vertical="center" wrapText="1"/>
    </xf>
    <xf numFmtId="0" fontId="8" fillId="12" borderId="98" xfId="0" applyFont="1" applyFill="1" applyBorder="1" applyAlignment="1">
      <alignment vertical="center" wrapText="1"/>
    </xf>
    <xf numFmtId="9" fontId="22" fillId="16" borderId="0" xfId="0" applyNumberFormat="1" applyFont="1" applyFill="1" applyBorder="1" applyAlignment="1">
      <alignment horizontal="center" vertical="center" wrapText="1"/>
    </xf>
    <xf numFmtId="0" fontId="22" fillId="4" borderId="0" xfId="0" applyFont="1" applyFill="1" applyBorder="1" applyAlignment="1">
      <alignment horizontal="center" vertical="center" wrapText="1"/>
    </xf>
    <xf numFmtId="9" fontId="22" fillId="4" borderId="84" xfId="0" applyNumberFormat="1" applyFont="1" applyFill="1" applyBorder="1" applyAlignment="1">
      <alignment horizontal="center" vertical="center" wrapText="1"/>
    </xf>
    <xf numFmtId="0" fontId="22" fillId="16" borderId="0" xfId="0" applyFont="1" applyFill="1" applyBorder="1" applyAlignment="1">
      <alignment vertical="center" wrapText="1"/>
    </xf>
    <xf numFmtId="0" fontId="22" fillId="16" borderId="0" xfId="0" applyFont="1" applyFill="1" applyBorder="1" applyAlignment="1">
      <alignment horizontal="center" vertical="center" wrapText="1"/>
    </xf>
    <xf numFmtId="0" fontId="8" fillId="11" borderId="100" xfId="0" applyFont="1" applyFill="1" applyBorder="1" applyAlignment="1">
      <alignment horizontal="right" vertical="top"/>
    </xf>
    <xf numFmtId="0" fontId="8" fillId="11" borderId="42" xfId="0" applyFont="1" applyFill="1" applyBorder="1" applyAlignment="1">
      <alignment vertical="center"/>
    </xf>
    <xf numFmtId="0" fontId="8" fillId="12" borderId="0" xfId="0" applyFont="1" applyFill="1" applyBorder="1" applyAlignment="1">
      <alignment vertical="center"/>
    </xf>
    <xf numFmtId="0" fontId="8" fillId="11" borderId="0" xfId="0" applyFont="1" applyFill="1" applyBorder="1" applyAlignment="1">
      <alignment vertical="center"/>
    </xf>
    <xf numFmtId="2" fontId="2" fillId="0" borderId="1" xfId="0" applyNumberFormat="1" applyFont="1" applyBorder="1" applyAlignment="1">
      <alignment horizontal="center"/>
    </xf>
    <xf numFmtId="169" fontId="6" fillId="8" borderId="1" xfId="1" applyNumberFormat="1" applyFont="1" applyFill="1" applyBorder="1" applyAlignment="1">
      <alignment horizontal="center"/>
    </xf>
    <xf numFmtId="1" fontId="6" fillId="0" borderId="1" xfId="4" applyNumberFormat="1" applyFont="1" applyFill="1" applyBorder="1" applyAlignment="1">
      <alignment horizontal="right" vertical="center"/>
    </xf>
    <xf numFmtId="2" fontId="6" fillId="0" borderId="1" xfId="4" applyNumberFormat="1" applyFont="1" applyFill="1" applyBorder="1" applyAlignment="1">
      <alignment horizontal="right" vertical="center"/>
    </xf>
    <xf numFmtId="0" fontId="6" fillId="8" borderId="1" xfId="5" applyFont="1" applyFill="1" applyBorder="1" applyAlignment="1">
      <alignment horizontal="right" vertical="center"/>
    </xf>
    <xf numFmtId="1" fontId="2" fillId="16" borderId="0" xfId="0" applyNumberFormat="1" applyFont="1" applyFill="1" applyAlignment="1">
      <alignment horizontal="center" vertical="center"/>
    </xf>
    <xf numFmtId="1" fontId="2" fillId="4" borderId="0" xfId="0" applyNumberFormat="1" applyFont="1" applyFill="1" applyAlignment="1">
      <alignment horizontal="center" vertical="center"/>
    </xf>
    <xf numFmtId="1" fontId="3" fillId="0" borderId="5" xfId="0" applyNumberFormat="1" applyFont="1" applyBorder="1" applyAlignment="1">
      <alignment horizontal="center" vertical="center"/>
    </xf>
    <xf numFmtId="4" fontId="8" fillId="11" borderId="44" xfId="0" applyNumberFormat="1" applyFont="1" applyFill="1" applyBorder="1" applyAlignment="1">
      <alignment horizontal="right" vertical="center"/>
    </xf>
    <xf numFmtId="4" fontId="8" fillId="11" borderId="45" xfId="0" applyNumberFormat="1" applyFont="1" applyFill="1" applyBorder="1" applyAlignment="1">
      <alignment horizontal="right" vertical="center"/>
    </xf>
    <xf numFmtId="4" fontId="6" fillId="0" borderId="0" xfId="0" applyNumberFormat="1" applyFont="1" applyAlignment="1"/>
    <xf numFmtId="4" fontId="8" fillId="12" borderId="44" xfId="0" applyNumberFormat="1" applyFont="1" applyFill="1" applyBorder="1" applyAlignment="1">
      <alignment horizontal="right" vertical="center"/>
    </xf>
    <xf numFmtId="4" fontId="8" fillId="12" borderId="45" xfId="0" applyNumberFormat="1" applyFont="1" applyFill="1" applyBorder="1" applyAlignment="1">
      <alignment horizontal="right" vertical="center"/>
    </xf>
    <xf numFmtId="3" fontId="22" fillId="4" borderId="84" xfId="0" applyNumberFormat="1" applyFont="1" applyFill="1" applyBorder="1" applyAlignment="1">
      <alignment horizontal="center" vertical="center" wrapText="1"/>
    </xf>
    <xf numFmtId="3" fontId="22" fillId="4" borderId="94" xfId="0" applyNumberFormat="1" applyFont="1" applyFill="1" applyBorder="1" applyAlignment="1">
      <alignment horizontal="center" vertical="center" wrapText="1"/>
    </xf>
    <xf numFmtId="175" fontId="6" fillId="8" borderId="1" xfId="0" applyNumberFormat="1" applyFont="1" applyFill="1" applyBorder="1" applyAlignment="1">
      <alignment horizontal="center"/>
    </xf>
    <xf numFmtId="0" fontId="6" fillId="8" borderId="1" xfId="1" applyNumberFormat="1" applyFont="1" applyFill="1" applyBorder="1" applyAlignment="1">
      <alignment horizontal="center" vertical="center" wrapText="1"/>
    </xf>
    <xf numFmtId="0" fontId="0" fillId="0" borderId="1" xfId="0" applyBorder="1"/>
    <xf numFmtId="3" fontId="22" fillId="16" borderId="1" xfId="0" applyNumberFormat="1" applyFont="1" applyFill="1" applyBorder="1" applyAlignment="1">
      <alignment horizontal="center" vertical="center" wrapText="1"/>
    </xf>
    <xf numFmtId="0" fontId="22" fillId="16" borderId="1" xfId="0" applyFont="1" applyFill="1" applyBorder="1" applyAlignment="1">
      <alignment horizontal="center" vertical="center" wrapText="1"/>
    </xf>
    <xf numFmtId="0" fontId="6" fillId="8" borderId="1" xfId="5" applyFont="1" applyFill="1" applyBorder="1" applyAlignment="1">
      <alignment vertical="center"/>
    </xf>
    <xf numFmtId="3" fontId="22" fillId="4" borderId="1" xfId="0" applyNumberFormat="1" applyFont="1" applyFill="1" applyBorder="1" applyAlignment="1">
      <alignment horizontal="center" vertical="center" wrapText="1"/>
    </xf>
    <xf numFmtId="0" fontId="22" fillId="4" borderId="1" xfId="0" applyFont="1" applyFill="1" applyBorder="1" applyAlignment="1">
      <alignment horizontal="center" vertical="center" wrapText="1"/>
    </xf>
    <xf numFmtId="3" fontId="22" fillId="4" borderId="0" xfId="0" applyNumberFormat="1" applyFont="1" applyFill="1" applyBorder="1" applyAlignment="1">
      <alignment horizontal="center" vertical="center" wrapText="1"/>
    </xf>
    <xf numFmtId="3" fontId="22" fillId="16" borderId="0" xfId="0" applyNumberFormat="1" applyFont="1" applyFill="1" applyBorder="1" applyAlignment="1">
      <alignment horizontal="center" vertical="center" wrapText="1"/>
    </xf>
    <xf numFmtId="3" fontId="22" fillId="4" borderId="66" xfId="0" applyNumberFormat="1" applyFont="1" applyFill="1" applyBorder="1" applyAlignment="1">
      <alignment horizontal="center" vertical="center" wrapText="1"/>
    </xf>
    <xf numFmtId="3" fontId="22" fillId="4" borderId="90" xfId="0" applyNumberFormat="1" applyFont="1" applyFill="1" applyBorder="1" applyAlignment="1">
      <alignment horizontal="center" vertical="center" wrapText="1"/>
    </xf>
    <xf numFmtId="3" fontId="22" fillId="4" borderId="50" xfId="0" applyNumberFormat="1" applyFont="1" applyFill="1" applyBorder="1" applyAlignment="1">
      <alignment horizontal="center" vertical="center" wrapText="1"/>
    </xf>
    <xf numFmtId="0" fontId="6" fillId="14" borderId="0" xfId="5" applyFont="1" applyFill="1" applyBorder="1"/>
    <xf numFmtId="0" fontId="15" fillId="14" borderId="0" xfId="0" applyFont="1" applyFill="1" applyBorder="1" applyAlignment="1">
      <alignment horizontal="center" vertical="center" wrapText="1"/>
    </xf>
    <xf numFmtId="164" fontId="6" fillId="14" borderId="0" xfId="1" applyFont="1" applyFill="1" applyBorder="1" applyAlignment="1">
      <alignment horizontal="center" vertical="center" wrapText="1"/>
    </xf>
    <xf numFmtId="3" fontId="6" fillId="14" borderId="0" xfId="0" applyNumberFormat="1" applyFont="1" applyFill="1" applyBorder="1" applyAlignment="1"/>
    <xf numFmtId="0" fontId="42" fillId="0" borderId="0" xfId="0" applyFont="1"/>
    <xf numFmtId="0" fontId="15" fillId="14" borderId="0" xfId="0" applyFont="1" applyFill="1" applyAlignment="1">
      <alignment horizontal="center" vertical="center" wrapText="1"/>
    </xf>
    <xf numFmtId="164" fontId="6" fillId="14" borderId="0" xfId="1" applyFont="1" applyFill="1" applyBorder="1"/>
    <xf numFmtId="3" fontId="6" fillId="14" borderId="0" xfId="0" applyNumberFormat="1" applyFont="1" applyFill="1" applyBorder="1" applyAlignment="1">
      <alignment horizontal="center"/>
    </xf>
    <xf numFmtId="0" fontId="6" fillId="14" borderId="0" xfId="0" applyFont="1" applyFill="1"/>
    <xf numFmtId="3" fontId="6" fillId="8" borderId="1" xfId="0" applyNumberFormat="1" applyFont="1" applyFill="1" applyBorder="1" applyAlignment="1"/>
    <xf numFmtId="164" fontId="6" fillId="0" borderId="0" xfId="1" applyFont="1" applyBorder="1" applyAlignment="1">
      <alignment horizontal="center" vertical="center" wrapText="1"/>
    </xf>
    <xf numFmtId="0" fontId="6" fillId="0" borderId="95" xfId="5" applyFont="1" applyFill="1" applyBorder="1"/>
    <xf numFmtId="0" fontId="6" fillId="18" borderId="103" xfId="5" applyFont="1" applyBorder="1" applyAlignment="1"/>
    <xf numFmtId="0" fontId="6" fillId="18" borderId="95" xfId="5" applyFont="1" applyBorder="1" applyAlignment="1"/>
    <xf numFmtId="0" fontId="6" fillId="4" borderId="95" xfId="5" applyFont="1" applyFill="1" applyBorder="1"/>
    <xf numFmtId="0" fontId="0" fillId="4" borderId="0" xfId="0" applyFill="1" applyBorder="1"/>
    <xf numFmtId="0" fontId="6" fillId="4" borderId="103" xfId="5" applyFont="1" applyFill="1" applyBorder="1" applyAlignment="1"/>
    <xf numFmtId="0" fontId="6" fillId="4" borderId="95" xfId="5" applyFont="1" applyFill="1" applyBorder="1" applyAlignment="1"/>
    <xf numFmtId="0" fontId="6" fillId="4" borderId="103" xfId="5" applyFont="1" applyFill="1" applyBorder="1"/>
    <xf numFmtId="0" fontId="44" fillId="14" borderId="0" xfId="5" applyFont="1" applyFill="1" applyBorder="1"/>
    <xf numFmtId="0" fontId="6" fillId="9" borderId="1" xfId="0" applyFont="1" applyFill="1" applyBorder="1" applyAlignment="1">
      <alignment horizontal="center"/>
    </xf>
    <xf numFmtId="0" fontId="0" fillId="0" borderId="106" xfId="0" applyBorder="1"/>
    <xf numFmtId="0" fontId="0" fillId="0" borderId="105" xfId="0" applyBorder="1"/>
    <xf numFmtId="0" fontId="2" fillId="0" borderId="0" xfId="0" applyNumberFormat="1" applyFont="1"/>
    <xf numFmtId="1" fontId="6" fillId="21" borderId="1" xfId="4" applyNumberFormat="1" applyFont="1" applyFill="1" applyBorder="1" applyAlignment="1">
      <alignment horizontal="right" vertical="center"/>
    </xf>
    <xf numFmtId="0" fontId="8" fillId="0" borderId="38" xfId="0" applyFont="1" applyBorder="1" applyAlignment="1">
      <alignment horizontal="left" vertical="center"/>
    </xf>
    <xf numFmtId="0" fontId="8" fillId="11" borderId="42" xfId="0" applyFont="1" applyFill="1" applyBorder="1" applyAlignment="1">
      <alignment horizontal="left" vertical="center"/>
    </xf>
    <xf numFmtId="0" fontId="8" fillId="12" borderId="0" xfId="0" applyFont="1" applyFill="1" applyBorder="1" applyAlignment="1">
      <alignment horizontal="left" vertical="center"/>
    </xf>
    <xf numFmtId="0" fontId="8" fillId="12" borderId="94" xfId="0" applyFont="1" applyFill="1" applyBorder="1" applyAlignment="1">
      <alignment horizontal="left" vertical="center"/>
    </xf>
    <xf numFmtId="0" fontId="8" fillId="11" borderId="0" xfId="0" applyFont="1" applyFill="1" applyBorder="1" applyAlignment="1">
      <alignment horizontal="left" vertical="center"/>
    </xf>
    <xf numFmtId="0" fontId="8" fillId="11" borderId="94" xfId="0" applyFont="1" applyFill="1" applyBorder="1" applyAlignment="1">
      <alignment horizontal="left" vertical="center"/>
    </xf>
    <xf numFmtId="0" fontId="6" fillId="0" borderId="42" xfId="0" applyFont="1" applyFill="1" applyBorder="1" applyAlignment="1">
      <alignment horizontal="center" vertical="top" wrapText="1"/>
    </xf>
    <xf numFmtId="0" fontId="6" fillId="0" borderId="0" xfId="0" applyFont="1" applyFill="1" applyBorder="1" applyAlignment="1">
      <alignment horizontal="center" vertical="top" wrapText="1"/>
    </xf>
    <xf numFmtId="0" fontId="6" fillId="0" borderId="48" xfId="0" applyFont="1" applyFill="1" applyBorder="1" applyAlignment="1">
      <alignment horizontal="center" vertical="top" wrapText="1"/>
    </xf>
    <xf numFmtId="0" fontId="6" fillId="0" borderId="0" xfId="0" applyFont="1" applyBorder="1" applyAlignment="1">
      <alignment horizontal="center"/>
    </xf>
    <xf numFmtId="0" fontId="6" fillId="0" borderId="48" xfId="0" applyFont="1" applyBorder="1" applyAlignment="1">
      <alignment horizontal="center"/>
    </xf>
    <xf numFmtId="0" fontId="8" fillId="11" borderId="47" xfId="0" applyFont="1" applyFill="1" applyBorder="1" applyAlignment="1">
      <alignment horizontal="left" vertical="center"/>
    </xf>
    <xf numFmtId="0" fontId="8" fillId="11" borderId="102" xfId="0" applyFont="1" applyFill="1" applyBorder="1" applyAlignment="1">
      <alignment horizontal="left" vertical="center"/>
    </xf>
    <xf numFmtId="0" fontId="8" fillId="0" borderId="0" xfId="0" applyFont="1" applyBorder="1" applyAlignment="1">
      <alignment horizontal="center" vertical="center"/>
    </xf>
    <xf numFmtId="0" fontId="8" fillId="0" borderId="48" xfId="0" applyFont="1" applyBorder="1" applyAlignment="1">
      <alignment horizontal="center" vertical="center"/>
    </xf>
    <xf numFmtId="0" fontId="8" fillId="11" borderId="101" xfId="0" applyFont="1" applyFill="1" applyBorder="1" applyAlignment="1">
      <alignment horizontal="left" vertical="center"/>
    </xf>
    <xf numFmtId="0" fontId="7" fillId="10" borderId="43" xfId="0" applyFont="1" applyFill="1" applyBorder="1" applyAlignment="1">
      <alignment horizontal="center" vertical="center"/>
    </xf>
    <xf numFmtId="4" fontId="8" fillId="11" borderId="0" xfId="0" applyNumberFormat="1" applyFont="1" applyFill="1" applyBorder="1" applyAlignment="1">
      <alignment horizontal="right" vertical="center"/>
    </xf>
    <xf numFmtId="4" fontId="8" fillId="11" borderId="44" xfId="0" applyNumberFormat="1" applyFont="1" applyFill="1" applyBorder="1" applyAlignment="1">
      <alignment horizontal="right" vertical="center"/>
    </xf>
    <xf numFmtId="4" fontId="8" fillId="4" borderId="0" xfId="0" applyNumberFormat="1" applyFont="1" applyFill="1" applyBorder="1" applyAlignment="1">
      <alignment horizontal="right" vertical="center"/>
    </xf>
    <xf numFmtId="4" fontId="8" fillId="4" borderId="44" xfId="0" applyNumberFormat="1" applyFont="1" applyFill="1" applyBorder="1" applyAlignment="1">
      <alignment horizontal="right" vertical="center"/>
    </xf>
    <xf numFmtId="4" fontId="8" fillId="4" borderId="45" xfId="0" applyNumberFormat="1" applyFont="1" applyFill="1" applyBorder="1" applyAlignment="1">
      <alignment horizontal="right" vertical="center"/>
    </xf>
    <xf numFmtId="4" fontId="8" fillId="11" borderId="45" xfId="0" applyNumberFormat="1" applyFont="1" applyFill="1" applyBorder="1" applyAlignment="1">
      <alignment horizontal="right" vertical="center"/>
    </xf>
    <xf numFmtId="4" fontId="8" fillId="12" borderId="0" xfId="0" applyNumberFormat="1" applyFont="1" applyFill="1" applyBorder="1" applyAlignment="1">
      <alignment horizontal="right" vertical="center"/>
    </xf>
    <xf numFmtId="4" fontId="8" fillId="12" borderId="44" xfId="0" applyNumberFormat="1" applyFont="1" applyFill="1" applyBorder="1" applyAlignment="1">
      <alignment horizontal="right" vertical="center"/>
    </xf>
    <xf numFmtId="4" fontId="8" fillId="12" borderId="45" xfId="0" applyNumberFormat="1" applyFont="1" applyFill="1" applyBorder="1" applyAlignment="1">
      <alignment horizontal="right" vertical="center"/>
    </xf>
    <xf numFmtId="0" fontId="8" fillId="0" borderId="99" xfId="0" applyFont="1" applyBorder="1" applyAlignment="1">
      <alignment horizontal="left" vertical="center"/>
    </xf>
    <xf numFmtId="0" fontId="28" fillId="0" borderId="41" xfId="0" applyFont="1" applyBorder="1" applyAlignment="1">
      <alignment horizontal="left" vertical="center"/>
    </xf>
    <xf numFmtId="0" fontId="8" fillId="11" borderId="45" xfId="0" applyFont="1" applyFill="1" applyBorder="1" applyAlignment="1">
      <alignment horizontal="right" vertical="center"/>
    </xf>
    <xf numFmtId="0" fontId="8" fillId="11" borderId="44" xfId="0" applyFont="1" applyFill="1" applyBorder="1" applyAlignment="1">
      <alignment horizontal="right" vertical="center"/>
    </xf>
    <xf numFmtId="2" fontId="8" fillId="12" borderId="0" xfId="3" applyNumberFormat="1" applyFont="1" applyFill="1" applyBorder="1" applyAlignment="1">
      <alignment horizontal="right" vertical="center"/>
    </xf>
    <xf numFmtId="2" fontId="8" fillId="12" borderId="44" xfId="3" applyNumberFormat="1" applyFont="1" applyFill="1" applyBorder="1" applyAlignment="1">
      <alignment horizontal="right" vertical="center"/>
    </xf>
    <xf numFmtId="2" fontId="8" fillId="12" borderId="45" xfId="3" applyNumberFormat="1" applyFont="1" applyFill="1" applyBorder="1" applyAlignment="1">
      <alignment horizontal="right" vertical="center"/>
    </xf>
    <xf numFmtId="2" fontId="8" fillId="11" borderId="0" xfId="0" applyNumberFormat="1" applyFont="1" applyFill="1" applyBorder="1" applyAlignment="1">
      <alignment horizontal="right" vertical="center"/>
    </xf>
    <xf numFmtId="2" fontId="8" fillId="11" borderId="44" xfId="0" applyNumberFormat="1" applyFont="1" applyFill="1" applyBorder="1" applyAlignment="1">
      <alignment horizontal="right" vertical="center"/>
    </xf>
    <xf numFmtId="2" fontId="8" fillId="11" borderId="45" xfId="0" applyNumberFormat="1" applyFont="1" applyFill="1" applyBorder="1" applyAlignment="1">
      <alignment horizontal="right" vertical="center"/>
    </xf>
    <xf numFmtId="2" fontId="8" fillId="12" borderId="32" xfId="0" applyNumberFormat="1" applyFont="1" applyFill="1" applyBorder="1" applyAlignment="1">
      <alignment horizontal="right" vertical="center"/>
    </xf>
    <xf numFmtId="2" fontId="8" fillId="12" borderId="39" xfId="0" applyNumberFormat="1" applyFont="1" applyFill="1" applyBorder="1" applyAlignment="1">
      <alignment horizontal="right" vertical="center"/>
    </xf>
    <xf numFmtId="2" fontId="8" fillId="12" borderId="46" xfId="0" applyNumberFormat="1" applyFont="1" applyFill="1" applyBorder="1" applyAlignment="1">
      <alignment horizontal="right" vertical="center"/>
    </xf>
    <xf numFmtId="0" fontId="10" fillId="4" borderId="2" xfId="0" applyFont="1" applyFill="1" applyBorder="1" applyAlignment="1">
      <alignment horizontal="center" vertical="center" wrapText="1"/>
    </xf>
    <xf numFmtId="0" fontId="10" fillId="4" borderId="71" xfId="0" applyFont="1" applyFill="1" applyBorder="1" applyAlignment="1">
      <alignment horizontal="center" vertical="center" wrapText="1"/>
    </xf>
    <xf numFmtId="0" fontId="28" fillId="0" borderId="32" xfId="0" applyFont="1" applyBorder="1" applyAlignment="1">
      <alignment horizontal="justify" vertical="center" wrapText="1"/>
    </xf>
    <xf numFmtId="0" fontId="8" fillId="0" borderId="43" xfId="0" applyFont="1" applyBorder="1" applyAlignment="1">
      <alignment vertical="center" wrapText="1"/>
    </xf>
    <xf numFmtId="0" fontId="28" fillId="0" borderId="81" xfId="0" applyFont="1" applyBorder="1" applyAlignment="1">
      <alignment horizontal="justify" vertical="center" wrapText="1"/>
    </xf>
    <xf numFmtId="0" fontId="29" fillId="0" borderId="0" xfId="0" applyFont="1" applyAlignment="1">
      <alignment horizontal="justify" vertical="center" wrapText="1"/>
    </xf>
    <xf numFmtId="0" fontId="2" fillId="0" borderId="0" xfId="0" applyFont="1" applyAlignment="1">
      <alignment horizontal="left" vertical="top" wrapText="1"/>
    </xf>
    <xf numFmtId="0" fontId="2" fillId="0" borderId="31" xfId="0" applyFont="1" applyBorder="1" applyAlignment="1">
      <alignment horizontal="left" vertical="top" wrapText="1"/>
    </xf>
    <xf numFmtId="0" fontId="2" fillId="0" borderId="105" xfId="0" applyFont="1" applyBorder="1" applyAlignment="1">
      <alignment horizontal="left" vertical="top" wrapText="1"/>
    </xf>
    <xf numFmtId="0" fontId="2" fillId="0" borderId="0" xfId="0" applyFont="1" applyBorder="1" applyAlignment="1">
      <alignment horizontal="left" vertical="top" wrapText="1"/>
    </xf>
    <xf numFmtId="0" fontId="2" fillId="0" borderId="104" xfId="0" applyFont="1" applyBorder="1" applyAlignment="1">
      <alignment horizontal="left" vertical="top" wrapText="1"/>
    </xf>
    <xf numFmtId="0" fontId="8" fillId="0" borderId="77" xfId="0" applyFont="1" applyBorder="1" applyAlignment="1">
      <alignment vertical="center" wrapText="1"/>
    </xf>
    <xf numFmtId="0" fontId="36" fillId="10" borderId="79" xfId="0" applyFont="1" applyFill="1" applyBorder="1" applyAlignment="1">
      <alignment horizontal="left" vertical="center" wrapText="1"/>
    </xf>
    <xf numFmtId="0" fontId="36" fillId="10" borderId="86" xfId="0" applyFont="1" applyFill="1" applyBorder="1" applyAlignment="1">
      <alignment horizontal="left" vertical="center" wrapText="1"/>
    </xf>
    <xf numFmtId="0" fontId="36" fillId="10" borderId="80" xfId="0" applyFont="1" applyFill="1" applyBorder="1" applyAlignment="1">
      <alignment horizontal="center" vertical="center" wrapText="1"/>
    </xf>
    <xf numFmtId="0" fontId="36" fillId="10" borderId="87" xfId="0" applyFont="1" applyFill="1" applyBorder="1" applyAlignment="1">
      <alignment horizontal="center" vertical="center" wrapText="1"/>
    </xf>
    <xf numFmtId="0" fontId="38" fillId="10" borderId="80" xfId="0" applyFont="1" applyFill="1" applyBorder="1" applyAlignment="1">
      <alignment horizontal="center" vertical="center" wrapText="1"/>
    </xf>
    <xf numFmtId="0" fontId="38" fillId="10" borderId="87" xfId="0" applyFont="1" applyFill="1" applyBorder="1" applyAlignment="1">
      <alignment horizontal="center" vertical="center" wrapText="1"/>
    </xf>
    <xf numFmtId="0" fontId="28" fillId="0" borderId="58" xfId="0" applyFont="1" applyBorder="1" applyAlignment="1">
      <alignment horizontal="left" vertical="center" wrapText="1"/>
    </xf>
    <xf numFmtId="0" fontId="36" fillId="10" borderId="30" xfId="0" applyFont="1" applyFill="1" applyBorder="1" applyAlignment="1">
      <alignment vertical="center" wrapText="1"/>
    </xf>
    <xf numFmtId="0" fontId="36" fillId="10" borderId="0" xfId="0" applyFont="1" applyFill="1" applyAlignment="1">
      <alignment vertical="center" wrapText="1"/>
    </xf>
    <xf numFmtId="0" fontId="36" fillId="10" borderId="30" xfId="0" applyFont="1" applyFill="1" applyBorder="1" applyAlignment="1">
      <alignment horizontal="center" vertical="center" wrapText="1"/>
    </xf>
    <xf numFmtId="0" fontId="36" fillId="10" borderId="0" xfId="0" applyFont="1" applyFill="1" applyAlignment="1">
      <alignment horizontal="center" vertical="center" wrapText="1"/>
    </xf>
    <xf numFmtId="0" fontId="36" fillId="10" borderId="83" xfId="0" applyFont="1" applyFill="1" applyBorder="1" applyAlignment="1">
      <alignment horizontal="center" vertical="center" wrapText="1"/>
    </xf>
    <xf numFmtId="0" fontId="2" fillId="4" borderId="48" xfId="0" applyFont="1" applyFill="1" applyBorder="1" applyAlignment="1">
      <alignment horizontal="left" vertical="top"/>
    </xf>
    <xf numFmtId="0" fontId="3" fillId="0" borderId="5" xfId="0" applyFont="1" applyFill="1" applyBorder="1" applyAlignment="1">
      <alignment horizontal="left" vertical="top"/>
    </xf>
    <xf numFmtId="0" fontId="5" fillId="10" borderId="0" xfId="0" applyFont="1" applyFill="1" applyAlignment="1">
      <alignment horizontal="center" vertical="center"/>
    </xf>
    <xf numFmtId="0" fontId="2" fillId="16" borderId="0" xfId="0" applyFont="1" applyFill="1" applyAlignment="1">
      <alignment horizontal="left" vertical="top"/>
    </xf>
    <xf numFmtId="0" fontId="2" fillId="4" borderId="0" xfId="0" applyFont="1" applyFill="1" applyAlignment="1">
      <alignment horizontal="left" vertical="top"/>
    </xf>
    <xf numFmtId="0" fontId="0" fillId="0" borderId="105" xfId="0" applyBorder="1" applyAlignment="1">
      <alignment horizontal="left" vertical="top"/>
    </xf>
    <xf numFmtId="0" fontId="0" fillId="0" borderId="0" xfId="0" applyAlignment="1">
      <alignment horizontal="left" vertical="top"/>
    </xf>
    <xf numFmtId="0" fontId="36" fillId="10" borderId="1" xfId="0" applyFont="1" applyFill="1" applyBorder="1" applyAlignment="1">
      <alignment horizontal="center" vertical="center" wrapText="1"/>
    </xf>
    <xf numFmtId="0" fontId="0" fillId="0" borderId="48" xfId="0" applyBorder="1" applyAlignment="1">
      <alignment horizontal="center"/>
    </xf>
    <xf numFmtId="0" fontId="8" fillId="12" borderId="62" xfId="0" applyFont="1" applyFill="1" applyBorder="1" applyAlignment="1">
      <alignment horizontal="center" vertical="center" wrapText="1"/>
    </xf>
    <xf numFmtId="0" fontId="8" fillId="12" borderId="0" xfId="0" applyFont="1" applyFill="1" applyBorder="1" applyAlignment="1">
      <alignment horizontal="center" vertical="center" wrapText="1"/>
    </xf>
    <xf numFmtId="0" fontId="7" fillId="20" borderId="89" xfId="0" applyFont="1" applyFill="1" applyBorder="1" applyAlignment="1">
      <alignment horizontal="center" vertical="center" wrapText="1"/>
    </xf>
    <xf numFmtId="0" fontId="7" fillId="20" borderId="64" xfId="0" applyFont="1" applyFill="1" applyBorder="1" applyAlignment="1">
      <alignment horizontal="center" vertical="center" wrapText="1"/>
    </xf>
    <xf numFmtId="0" fontId="8" fillId="11" borderId="65" xfId="0" applyFont="1" applyFill="1" applyBorder="1" applyAlignment="1">
      <alignment horizontal="center" vertical="center" wrapText="1"/>
    </xf>
    <xf numFmtId="0" fontId="8" fillId="11" borderId="47" xfId="0" applyFont="1" applyFill="1" applyBorder="1" applyAlignment="1">
      <alignment horizontal="center" vertical="center" wrapText="1"/>
    </xf>
    <xf numFmtId="0" fontId="8" fillId="11" borderId="63" xfId="0" applyFont="1" applyFill="1" applyBorder="1" applyAlignment="1">
      <alignment horizontal="center" vertical="center" wrapText="1"/>
    </xf>
    <xf numFmtId="4" fontId="8" fillId="11" borderId="65" xfId="0" applyNumberFormat="1" applyFont="1" applyFill="1" applyBorder="1" applyAlignment="1">
      <alignment horizontal="center" vertical="center" wrapText="1"/>
    </xf>
    <xf numFmtId="4" fontId="8" fillId="11" borderId="63" xfId="0" applyNumberFormat="1" applyFont="1" applyFill="1" applyBorder="1" applyAlignment="1">
      <alignment horizontal="center" vertical="center" wrapText="1"/>
    </xf>
    <xf numFmtId="0" fontId="8" fillId="12" borderId="51" xfId="0" applyFont="1" applyFill="1" applyBorder="1" applyAlignment="1">
      <alignment horizontal="center" vertical="center" wrapText="1"/>
    </xf>
    <xf numFmtId="0" fontId="8" fillId="11" borderId="61" xfId="0" applyFont="1" applyFill="1" applyBorder="1" applyAlignment="1">
      <alignment horizontal="center" vertical="center" wrapText="1"/>
    </xf>
    <xf numFmtId="0" fontId="8" fillId="11" borderId="60" xfId="0" applyFont="1" applyFill="1" applyBorder="1" applyAlignment="1">
      <alignment horizontal="center" vertical="center" wrapText="1"/>
    </xf>
    <xf numFmtId="0" fontId="8" fillId="11" borderId="62" xfId="0" applyFont="1" applyFill="1" applyBorder="1" applyAlignment="1">
      <alignment horizontal="center" vertical="center" wrapText="1"/>
    </xf>
    <xf numFmtId="0" fontId="8" fillId="11" borderId="51" xfId="0" applyFont="1" applyFill="1" applyBorder="1" applyAlignment="1">
      <alignment horizontal="center" vertical="center" wrapText="1"/>
    </xf>
    <xf numFmtId="0" fontId="7" fillId="10" borderId="67" xfId="0" applyFont="1" applyFill="1" applyBorder="1" applyAlignment="1">
      <alignment vertical="center" wrapText="1"/>
    </xf>
    <xf numFmtId="0" fontId="7" fillId="10" borderId="54" xfId="0" applyFont="1" applyFill="1" applyBorder="1" applyAlignment="1">
      <alignment horizontal="center" vertical="center" wrapText="1"/>
    </xf>
    <xf numFmtId="0" fontId="7" fillId="10" borderId="53" xfId="0" applyFont="1" applyFill="1" applyBorder="1" applyAlignment="1">
      <alignment horizontal="center" vertical="center" wrapText="1"/>
    </xf>
    <xf numFmtId="0" fontId="28" fillId="0" borderId="59" xfId="0" applyFont="1" applyBorder="1" applyAlignment="1">
      <alignment horizontal="left" vertical="center" wrapText="1"/>
    </xf>
    <xf numFmtId="0" fontId="28" fillId="0" borderId="47" xfId="0" applyFont="1" applyBorder="1" applyAlignment="1">
      <alignment horizontal="left" vertical="center" wrapText="1"/>
    </xf>
    <xf numFmtId="0" fontId="7" fillId="20" borderId="88" xfId="0" applyFont="1" applyFill="1" applyBorder="1" applyAlignment="1">
      <alignment horizontal="center" vertical="center" wrapText="1"/>
    </xf>
    <xf numFmtId="0" fontId="7" fillId="10" borderId="67" xfId="0" applyFont="1" applyFill="1" applyBorder="1" applyAlignment="1">
      <alignment horizontal="center" vertical="center" wrapText="1"/>
    </xf>
    <xf numFmtId="0" fontId="28" fillId="0" borderId="58" xfId="0" applyFont="1" applyBorder="1" applyAlignment="1">
      <alignment horizontal="justify" vertical="center" wrapText="1"/>
    </xf>
    <xf numFmtId="0" fontId="8" fillId="11" borderId="0" xfId="0" applyFont="1" applyFill="1" applyBorder="1" applyAlignment="1">
      <alignment horizontal="center" vertical="center" wrapText="1"/>
    </xf>
    <xf numFmtId="0" fontId="8" fillId="0" borderId="42" xfId="0" applyFont="1" applyFill="1" applyBorder="1" applyAlignment="1">
      <alignment horizontal="left" vertical="top" wrapText="1"/>
    </xf>
    <xf numFmtId="0" fontId="8" fillId="0" borderId="0" xfId="0" applyFont="1" applyFill="1" applyBorder="1" applyAlignment="1">
      <alignment horizontal="left" vertical="top" wrapText="1"/>
    </xf>
    <xf numFmtId="0" fontId="8" fillId="0" borderId="50" xfId="0" applyFont="1" applyFill="1" applyBorder="1" applyAlignment="1">
      <alignment horizontal="left" vertical="top" wrapText="1"/>
    </xf>
    <xf numFmtId="0" fontId="8" fillId="11" borderId="59" xfId="0" applyFont="1" applyFill="1" applyBorder="1" applyAlignment="1">
      <alignment horizontal="center" vertical="center" wrapText="1"/>
    </xf>
    <xf numFmtId="0" fontId="5" fillId="19" borderId="3" xfId="0" applyFont="1" applyFill="1" applyBorder="1" applyAlignment="1">
      <alignment horizontal="center" vertical="center"/>
    </xf>
    <xf numFmtId="0" fontId="5" fillId="19" borderId="5" xfId="0" applyFont="1" applyFill="1" applyBorder="1" applyAlignment="1">
      <alignment horizontal="center" vertical="center"/>
    </xf>
    <xf numFmtId="0" fontId="5" fillId="19" borderId="75" xfId="0" applyFont="1" applyFill="1" applyBorder="1" applyAlignment="1">
      <alignment horizontal="center" vertical="center"/>
    </xf>
    <xf numFmtId="0" fontId="5" fillId="19" borderId="76" xfId="0" applyFont="1" applyFill="1" applyBorder="1" applyAlignment="1">
      <alignment horizontal="center" vertical="center"/>
    </xf>
    <xf numFmtId="0" fontId="5" fillId="19" borderId="4" xfId="0" applyFont="1" applyFill="1" applyBorder="1" applyAlignment="1">
      <alignment horizontal="center" vertical="center"/>
    </xf>
    <xf numFmtId="0" fontId="6" fillId="14" borderId="0" xfId="5" applyFont="1" applyFill="1" applyBorder="1" applyAlignment="1">
      <alignment horizontal="center"/>
    </xf>
    <xf numFmtId="0" fontId="6" fillId="4" borderId="103" xfId="5" applyFont="1" applyFill="1" applyBorder="1" applyAlignment="1">
      <alignment horizontal="center"/>
    </xf>
    <xf numFmtId="0" fontId="6" fillId="4" borderId="95" xfId="5" applyFont="1" applyFill="1" applyBorder="1" applyAlignment="1">
      <alignment horizontal="center"/>
    </xf>
    <xf numFmtId="0" fontId="6" fillId="0" borderId="103" xfId="5" applyFont="1" applyFill="1" applyBorder="1" applyAlignment="1">
      <alignment horizontal="center"/>
    </xf>
    <xf numFmtId="0" fontId="6" fillId="0" borderId="95" xfId="5" applyFont="1" applyFill="1" applyBorder="1" applyAlignment="1">
      <alignment horizontal="center"/>
    </xf>
    <xf numFmtId="0" fontId="3" fillId="0" borderId="3" xfId="0" applyFont="1" applyBorder="1" applyAlignment="1">
      <alignment horizontal="center" vertical="center" wrapText="1"/>
    </xf>
    <xf numFmtId="0" fontId="3" fillId="0" borderId="5" xfId="0" applyFont="1" applyBorder="1" applyAlignment="1">
      <alignment horizontal="center" vertical="center" wrapText="1"/>
    </xf>
    <xf numFmtId="0" fontId="3" fillId="0" borderId="4" xfId="0" applyFont="1" applyBorder="1" applyAlignment="1">
      <alignment horizontal="center" vertical="center" wrapText="1"/>
    </xf>
    <xf numFmtId="0" fontId="3" fillId="0" borderId="3" xfId="0" applyFont="1" applyBorder="1" applyAlignment="1">
      <alignment horizontal="center" wrapText="1"/>
    </xf>
    <xf numFmtId="0" fontId="3" fillId="0" borderId="5" xfId="0" applyFont="1" applyBorder="1" applyAlignment="1">
      <alignment horizontal="center" wrapText="1"/>
    </xf>
    <xf numFmtId="0" fontId="3" fillId="0" borderId="4" xfId="0" applyFont="1" applyBorder="1" applyAlignment="1">
      <alignment horizontal="center" wrapText="1"/>
    </xf>
    <xf numFmtId="0" fontId="3" fillId="0" borderId="3" xfId="0" applyFont="1" applyBorder="1" applyAlignment="1">
      <alignment horizontal="center"/>
    </xf>
    <xf numFmtId="0" fontId="3" fillId="0" borderId="5" xfId="0" applyFont="1" applyBorder="1" applyAlignment="1">
      <alignment horizontal="center"/>
    </xf>
    <xf numFmtId="0" fontId="3" fillId="0" borderId="4" xfId="0" applyFont="1" applyBorder="1" applyAlignment="1">
      <alignment horizontal="center"/>
    </xf>
    <xf numFmtId="0" fontId="6" fillId="0" borderId="0" xfId="0" applyFont="1"/>
    <xf numFmtId="0" fontId="43" fillId="0" borderId="0" xfId="0" applyFont="1"/>
  </cellXfs>
  <cellStyles count="7">
    <cellStyle name="20% - Accent6" xfId="2" builtinId="50"/>
    <cellStyle name="Check Cell" xfId="4" builtinId="23"/>
    <cellStyle name="Comma" xfId="1" builtinId="3"/>
    <cellStyle name="Normal" xfId="0" builtinId="0"/>
    <cellStyle name="Normal 2" xfId="6"/>
    <cellStyle name="Note" xfId="5" builtinId="10"/>
    <cellStyle name="Percent" xfId="3" builtinId="5"/>
  </cellStyles>
  <dxfs count="30">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C00000"/>
      </font>
    </dxf>
    <dxf>
      <font>
        <b/>
        <i val="0"/>
        <color rgb="FF00B050"/>
      </font>
    </dxf>
    <dxf>
      <font>
        <b/>
        <i val="0"/>
        <color rgb="FFC00000"/>
      </font>
    </dxf>
    <dxf>
      <font>
        <b/>
        <i val="0"/>
        <color rgb="FF00B050"/>
      </font>
    </dxf>
    <dxf>
      <font>
        <b val="0"/>
        <strike val="0"/>
        <outline val="0"/>
        <shadow val="0"/>
        <u val="none"/>
        <vertAlign val="baseline"/>
        <sz val="10"/>
        <color theme="1"/>
        <name val="Calibri"/>
        <scheme val="minor"/>
      </font>
      <numFmt numFmtId="2" formatCode="0.00"/>
      <fill>
        <patternFill patternType="none">
          <fgColor indexed="64"/>
          <bgColor auto="1"/>
        </patternFill>
      </fill>
      <alignment horizontal="center" vertical="center" textRotation="0"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0"/>
        <name val="Calibri"/>
        <scheme val="minor"/>
      </font>
      <numFmt numFmtId="172" formatCode="&quot;₹&quot;\ #,##0.00"/>
      <fill>
        <patternFill patternType="solid">
          <fgColor indexed="64"/>
          <bgColor theme="0"/>
        </patternFill>
      </fill>
      <alignment horizontal="center" vertical="center" textRotation="0" indent="0" justifyLastLine="0" shrinkToFit="0" readingOrder="0"/>
      <border diagonalUp="0" diagonalDown="0">
        <left/>
        <right/>
        <top style="thin">
          <color indexed="64"/>
        </top>
        <bottom style="thin">
          <color indexed="64"/>
        </bottom>
      </border>
    </dxf>
    <dxf>
      <font>
        <b/>
        <strike val="0"/>
        <outline val="0"/>
        <shadow val="0"/>
        <u val="none"/>
        <vertAlign val="baseline"/>
        <sz val="10"/>
        <name val="Calibri"/>
        <scheme val="min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Calibri"/>
        <scheme val="minor"/>
      </font>
    </dxf>
    <dxf>
      <border>
        <bottom style="thin">
          <color indexed="64"/>
        </bottom>
      </border>
    </dxf>
    <dxf>
      <font>
        <b/>
        <strike val="0"/>
        <outline val="0"/>
        <shadow val="0"/>
        <u val="none"/>
        <vertAlign val="baseline"/>
        <sz val="10"/>
        <name val="Calibri"/>
        <scheme val="minor"/>
      </font>
      <fill>
        <patternFill patternType="solid">
          <fgColor indexed="64"/>
          <bgColor theme="0" tint="-4.9989318521683403E-2"/>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colors>
    <mruColors>
      <color rgb="FFFFD200"/>
      <color rgb="FFD9D9D9"/>
      <color rgb="FF464646"/>
      <color rgb="FF0000FF"/>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 Id="rId1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_rels/chart2.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_rels/chart4.xml.rels><?xml version="1.0" encoding="UTF-8" standalone="yes"?>
<Relationships xmlns="http://schemas.openxmlformats.org/package/2006/relationships"><Relationship Id="rId1" Type="http://schemas.openxmlformats.org/officeDocument/2006/relationships/themeOverride" Target="../theme/themeOverride2.xml"/><Relationship Id="rId2" Type="http://schemas.openxmlformats.org/officeDocument/2006/relationships/chartUserShapes" Target="../drawings/drawing5.xml"/></Relationships>
</file>

<file path=xl/charts/_rels/chart5.xml.rels><?xml version="1.0" encoding="UTF-8" standalone="yes"?>
<Relationships xmlns="http://schemas.openxmlformats.org/package/2006/relationships"><Relationship Id="rId1" Type="http://schemas.openxmlformats.org/officeDocument/2006/relationships/chartUserShapes" Target="../drawings/drawing6.xml"/><Relationship Id="rId2" Type="http://schemas.microsoft.com/office/2011/relationships/chartStyle" Target="style1.xml"/><Relationship Id="rId3" Type="http://schemas.microsoft.com/office/2011/relationships/chartColorStyle" Target="colors1.xml"/></Relationships>
</file>

<file path=xl/charts/_rels/chart6.xml.rels><?xml version="1.0" encoding="UTF-8" standalone="yes"?>
<Relationships xmlns="http://schemas.openxmlformats.org/package/2006/relationships"><Relationship Id="rId1" Type="http://schemas.openxmlformats.org/officeDocument/2006/relationships/chartUserShapes" Target="../drawings/drawing8.xml"/></Relationships>
</file>

<file path=xl/charts/_rels/chart7.xml.rels><?xml version="1.0" encoding="UTF-8" standalone="yes"?>
<Relationships xmlns="http://schemas.openxmlformats.org/package/2006/relationships"><Relationship Id="rId1" Type="http://schemas.openxmlformats.org/officeDocument/2006/relationships/chartUserShapes" Target="../drawings/drawing9.xml"/></Relationships>
</file>

<file path=xl/charts/_rels/chart8.xml.rels><?xml version="1.0" encoding="UTF-8" standalone="yes"?>
<Relationships xmlns="http://schemas.openxmlformats.org/package/2006/relationships"><Relationship Id="rId1" Type="http://schemas.openxmlformats.org/officeDocument/2006/relationships/chartUserShapes" Target="../drawings/drawing10.xml"/></Relationships>
</file>

<file path=xl/charts/_rels/chart9.xml.rels><?xml version="1.0" encoding="UTF-8" standalone="yes"?>
<Relationships xmlns="http://schemas.openxmlformats.org/package/2006/relationships"><Relationship Id="rId1" Type="http://schemas.openxmlformats.org/officeDocument/2006/relationships/chartUserShapes" Target="../drawings/drawing11.xml"/><Relationship Id="rId2" Type="http://schemas.microsoft.com/office/2011/relationships/chartStyle" Target="style2.xml"/><Relationship Id="rId3" Type="http://schemas.microsoft.com/office/2011/relationships/chartColorStyle" Target="colors2.xml"/></Relationships>
</file>

<file path=xl/charts/_rels/chart10.xml.rels><?xml version="1.0" encoding="UTF-8" standalone="yes"?>
<Relationships xmlns="http://schemas.openxmlformats.org/package/2006/relationships"><Relationship Id="rId1" Type="http://schemas.openxmlformats.org/officeDocument/2006/relationships/chartUserShapes" Target="../drawings/drawing1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00277777777777778"/>
          <c:y val="0.0149150919089979"/>
          <c:w val="0.997222375956999"/>
          <c:h val="0.726608609038483"/>
        </c:manualLayout>
      </c:layout>
      <c:barChart>
        <c:barDir val="col"/>
        <c:grouping val="stacked"/>
        <c:varyColors val="0"/>
        <c:ser>
          <c:idx val="0"/>
          <c:order val="0"/>
          <c:tx>
            <c:strRef>
              <c:f>Template_P1!$L$4</c:f>
              <c:strCache>
                <c:ptCount val="1"/>
                <c:pt idx="0">
                  <c:v>Promoter</c:v>
                </c:pt>
              </c:strCache>
            </c:strRef>
          </c:tx>
          <c:spPr>
            <a:solidFill>
              <a:schemeClr val="accent2"/>
            </a:solidFill>
          </c:spPr>
          <c:invertIfNegative val="0"/>
          <c:dLbls>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Template_P1!$M$3:$P$3</c:f>
              <c:numCache>
                <c:formatCode>General</c:formatCode>
                <c:ptCount val="4"/>
                <c:pt idx="0">
                  <c:v>2015.0</c:v>
                </c:pt>
                <c:pt idx="1">
                  <c:v>2014.0</c:v>
                </c:pt>
                <c:pt idx="2">
                  <c:v>2013.0</c:v>
                </c:pt>
                <c:pt idx="3">
                  <c:v>2012.0</c:v>
                </c:pt>
              </c:numCache>
            </c:numRef>
          </c:cat>
          <c:val>
            <c:numRef>
              <c:f>Template_P1!$M$4:$P$4</c:f>
              <c:numCache>
                <c:formatCode>0.00</c:formatCode>
                <c:ptCount val="4"/>
                <c:pt idx="0">
                  <c:v>61.69</c:v>
                </c:pt>
                <c:pt idx="1">
                  <c:v>61.73</c:v>
                </c:pt>
                <c:pt idx="2">
                  <c:v>62.01</c:v>
                </c:pt>
                <c:pt idx="3">
                  <c:v>63.34</c:v>
                </c:pt>
              </c:numCache>
            </c:numRef>
          </c:val>
        </c:ser>
        <c:ser>
          <c:idx val="1"/>
          <c:order val="1"/>
          <c:tx>
            <c:strRef>
              <c:f>Template_P1!$L$5</c:f>
              <c:strCache>
                <c:ptCount val="1"/>
                <c:pt idx="0">
                  <c:v>FII</c:v>
                </c:pt>
              </c:strCache>
            </c:strRef>
          </c:tx>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Template_P1!$M$3:$P$3</c:f>
              <c:numCache>
                <c:formatCode>General</c:formatCode>
                <c:ptCount val="4"/>
                <c:pt idx="0">
                  <c:v>2015.0</c:v>
                </c:pt>
                <c:pt idx="1">
                  <c:v>2014.0</c:v>
                </c:pt>
                <c:pt idx="2">
                  <c:v>2013.0</c:v>
                </c:pt>
                <c:pt idx="3">
                  <c:v>2012.0</c:v>
                </c:pt>
              </c:numCache>
            </c:numRef>
          </c:cat>
          <c:val>
            <c:numRef>
              <c:f>Template_P1!$M$5:$P$5</c:f>
              <c:numCache>
                <c:formatCode>0.00</c:formatCode>
                <c:ptCount val="4"/>
                <c:pt idx="0">
                  <c:v>19.32</c:v>
                </c:pt>
                <c:pt idx="1">
                  <c:v>20.95</c:v>
                </c:pt>
                <c:pt idx="2">
                  <c:v>20.64</c:v>
                </c:pt>
                <c:pt idx="3">
                  <c:v>17.74</c:v>
                </c:pt>
              </c:numCache>
            </c:numRef>
          </c:val>
        </c:ser>
        <c:ser>
          <c:idx val="2"/>
          <c:order val="2"/>
          <c:tx>
            <c:strRef>
              <c:f>Template_P1!$L$6</c:f>
              <c:strCache>
                <c:ptCount val="1"/>
                <c:pt idx="0">
                  <c:v>DII</c:v>
                </c:pt>
              </c:strCache>
            </c:strRef>
          </c:tx>
          <c:spPr>
            <a:solidFill>
              <a:srgbClr val="FFC000"/>
            </a:solidFill>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Template_P1!$M$3:$P$3</c:f>
              <c:numCache>
                <c:formatCode>General</c:formatCode>
                <c:ptCount val="4"/>
                <c:pt idx="0">
                  <c:v>2015.0</c:v>
                </c:pt>
                <c:pt idx="1">
                  <c:v>2014.0</c:v>
                </c:pt>
                <c:pt idx="2">
                  <c:v>2013.0</c:v>
                </c:pt>
                <c:pt idx="3">
                  <c:v>2012.0</c:v>
                </c:pt>
              </c:numCache>
            </c:numRef>
          </c:cat>
          <c:val>
            <c:numRef>
              <c:f>Template_P1!$M$6:$P$6</c:f>
              <c:numCache>
                <c:formatCode>0.00</c:formatCode>
                <c:ptCount val="4"/>
                <c:pt idx="0">
                  <c:v>5.859999999999999</c:v>
                </c:pt>
                <c:pt idx="1">
                  <c:v>4.91</c:v>
                </c:pt>
                <c:pt idx="2">
                  <c:v>4.620000000000001</c:v>
                </c:pt>
                <c:pt idx="3">
                  <c:v>5.450000000000003</c:v>
                </c:pt>
              </c:numCache>
            </c:numRef>
          </c:val>
        </c:ser>
        <c:ser>
          <c:idx val="3"/>
          <c:order val="3"/>
          <c:tx>
            <c:strRef>
              <c:f>Template_P1!$L$7</c:f>
              <c:strCache>
                <c:ptCount val="1"/>
                <c:pt idx="0">
                  <c:v>Others</c:v>
                </c:pt>
              </c:strCache>
            </c:strRef>
          </c:tx>
          <c:invertIfNegative val="0"/>
          <c:dLbls>
            <c:spPr>
              <a:noFill/>
              <a:ln>
                <a:noFill/>
              </a:ln>
              <a:effectLst/>
            </c:spPr>
            <c:txPr>
              <a:bodyPr/>
              <a:lstStyle/>
              <a:p>
                <a:pPr>
                  <a:defRPr>
                    <a:solidFill>
                      <a:schemeClr val="bg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Template_P1!$M$3:$P$3</c:f>
              <c:numCache>
                <c:formatCode>General</c:formatCode>
                <c:ptCount val="4"/>
                <c:pt idx="0">
                  <c:v>2015.0</c:v>
                </c:pt>
                <c:pt idx="1">
                  <c:v>2014.0</c:v>
                </c:pt>
                <c:pt idx="2">
                  <c:v>2013.0</c:v>
                </c:pt>
                <c:pt idx="3">
                  <c:v>2012.0</c:v>
                </c:pt>
              </c:numCache>
            </c:numRef>
          </c:cat>
          <c:val>
            <c:numRef>
              <c:f>Template_P1!$M$7:$P$7</c:f>
              <c:numCache>
                <c:formatCode>0.00</c:formatCode>
                <c:ptCount val="4"/>
                <c:pt idx="0">
                  <c:v>13.13000000000001</c:v>
                </c:pt>
                <c:pt idx="1">
                  <c:v>12.41000000000001</c:v>
                </c:pt>
                <c:pt idx="2">
                  <c:v>12.72999999999999</c:v>
                </c:pt>
                <c:pt idx="3">
                  <c:v>13.47</c:v>
                </c:pt>
              </c:numCache>
            </c:numRef>
          </c:val>
        </c:ser>
        <c:dLbls>
          <c:showLegendKey val="0"/>
          <c:showVal val="0"/>
          <c:showCatName val="0"/>
          <c:showSerName val="0"/>
          <c:showPercent val="0"/>
          <c:showBubbleSize val="0"/>
        </c:dLbls>
        <c:gapWidth val="150"/>
        <c:overlap val="100"/>
        <c:axId val="2144931480"/>
        <c:axId val="2144934616"/>
      </c:barChart>
      <c:catAx>
        <c:axId val="2144931480"/>
        <c:scaling>
          <c:orientation val="minMax"/>
        </c:scaling>
        <c:delete val="0"/>
        <c:axPos val="b"/>
        <c:numFmt formatCode="General" sourceLinked="1"/>
        <c:majorTickMark val="out"/>
        <c:minorTickMark val="none"/>
        <c:tickLblPos val="nextTo"/>
        <c:crossAx val="2144934616"/>
        <c:crosses val="autoZero"/>
        <c:auto val="1"/>
        <c:lblAlgn val="ctr"/>
        <c:lblOffset val="100"/>
        <c:noMultiLvlLbl val="0"/>
      </c:catAx>
      <c:valAx>
        <c:axId val="2144934616"/>
        <c:scaling>
          <c:orientation val="minMax"/>
          <c:max val="100.0"/>
        </c:scaling>
        <c:delete val="1"/>
        <c:axPos val="l"/>
        <c:numFmt formatCode="0.00" sourceLinked="1"/>
        <c:majorTickMark val="out"/>
        <c:minorTickMark val="none"/>
        <c:tickLblPos val="nextTo"/>
        <c:crossAx val="2144931480"/>
        <c:crosses val="autoZero"/>
        <c:crossBetween val="between"/>
      </c:valAx>
    </c:plotArea>
    <c:legend>
      <c:legendPos val="r"/>
      <c:layout>
        <c:manualLayout>
          <c:xMode val="edge"/>
          <c:yMode val="edge"/>
          <c:x val="0.0"/>
          <c:y val="0.846826623222805"/>
          <c:w val="1.0"/>
          <c:h val="0.102410321856339"/>
        </c:manualLayout>
      </c:layout>
      <c:overlay val="0"/>
    </c:legend>
    <c:plotVisOnly val="1"/>
    <c:dispBlanksAs val="gap"/>
    <c:showDLblsOverMax val="0"/>
  </c:chart>
  <c:spPr>
    <a:noFill/>
    <a:ln>
      <a:noFill/>
    </a:ln>
  </c:spPr>
  <c:printSettings>
    <c:headerFooter/>
    <c:pageMargins b="0.75" l="0.7" r="0.7" t="0.75" header="0.3" footer="0.3"/>
    <c:pageSetup/>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23"/>
    </mc:Choice>
    <mc:Fallback>
      <c:style val="23"/>
    </mc:Fallback>
  </mc:AlternateContent>
  <c:clrMapOvr bg1="lt1" tx1="dk1" bg2="lt2" tx2="dk2" accent1="accent1" accent2="accent2" accent3="accent3" accent4="accent4" accent5="accent5" accent6="accent6" hlink="hlink" folHlink="folHlink"/>
  <c:chart>
    <c:title>
      <c:tx>
        <c:rich>
          <a:bodyPr/>
          <a:lstStyle/>
          <a:p>
            <a:pPr>
              <a:defRPr/>
            </a:pPr>
            <a:r>
              <a:rPr lang="en-IN" sz="1000"/>
              <a:t>Liable</a:t>
            </a:r>
            <a:r>
              <a:rPr lang="en-IN" sz="1000" baseline="0"/>
              <a:t> to retire by rotation</a:t>
            </a:r>
            <a:endParaRPr lang="en-IN" sz="1000"/>
          </a:p>
        </c:rich>
      </c:tx>
      <c:layout>
        <c:manualLayout>
          <c:xMode val="edge"/>
          <c:yMode val="edge"/>
          <c:x val="0.253119426860816"/>
          <c:y val="0.000809472442937577"/>
        </c:manualLayout>
      </c:layout>
      <c:overlay val="0"/>
    </c:title>
    <c:autoTitleDeleted val="0"/>
    <c:plotArea>
      <c:layout>
        <c:manualLayout>
          <c:layoutTarget val="inner"/>
          <c:xMode val="edge"/>
          <c:yMode val="edge"/>
          <c:x val="0.218641689570914"/>
          <c:y val="0.142193634166719"/>
          <c:w val="0.568670555555556"/>
          <c:h val="0.676988756613757"/>
        </c:manualLayout>
      </c:layout>
      <c:pieChart>
        <c:varyColors val="1"/>
        <c:ser>
          <c:idx val="0"/>
          <c:order val="0"/>
          <c:explosion val="3"/>
          <c:dPt>
            <c:idx val="0"/>
            <c:bubble3D val="0"/>
            <c:spPr>
              <a:solidFill>
                <a:sysClr val="windowText" lastClr="000000">
                  <a:lumMod val="65000"/>
                  <a:lumOff val="35000"/>
                </a:sysClr>
              </a:solidFill>
            </c:spPr>
          </c:dPt>
          <c:dPt>
            <c:idx val="1"/>
            <c:bubble3D val="0"/>
            <c:spPr>
              <a:solidFill>
                <a:sysClr val="window" lastClr="FFFFFF">
                  <a:lumMod val="85000"/>
                </a:sysClr>
              </a:solidFill>
            </c:spPr>
          </c:dPt>
          <c:dPt>
            <c:idx val="2"/>
            <c:bubble3D val="0"/>
            <c:spPr>
              <a:solidFill>
                <a:srgbClr val="FFC000"/>
              </a:solidFill>
            </c:spPr>
          </c:dPt>
          <c:dLbls>
            <c:dLbl>
              <c:idx val="0"/>
              <c:spPr>
                <a:noFill/>
                <a:ln>
                  <a:noFill/>
                </a:ln>
                <a:effectLst/>
              </c:spPr>
              <c:txPr>
                <a:bodyPr wrap="square" lIns="38100" tIns="19050" rIns="38100" bIns="19050" anchor="ctr">
                  <a:spAutoFit/>
                </a:bodyPr>
                <a:lstStyle/>
                <a:p>
                  <a:pPr>
                    <a:defRPr>
                      <a:solidFill>
                        <a:schemeClr val="bg1"/>
                      </a:solidFill>
                    </a:defRPr>
                  </a:pPr>
                  <a:endParaRPr lang="en-US"/>
                </a:p>
              </c:txPr>
              <c:dLblPos val="bestFit"/>
              <c:showLegendKey val="0"/>
              <c:showVal val="1"/>
              <c:showCatName val="0"/>
              <c:showSerName val="0"/>
              <c:showPercent val="0"/>
              <c:showBubbleSize val="0"/>
            </c:dLbl>
            <c:spPr>
              <a:noFill/>
              <a:ln>
                <a:noFill/>
              </a:ln>
              <a:effectLst/>
            </c:spPr>
            <c:dLblPos val="bestFit"/>
            <c:showLegendKey val="0"/>
            <c:showVal val="1"/>
            <c:showCatName val="0"/>
            <c:showSerName val="0"/>
            <c:showPercent val="0"/>
            <c:showBubbleSize val="0"/>
            <c:showLeaderLines val="1"/>
            <c:extLst>
              <c:ext xmlns:c15="http://schemas.microsoft.com/office/drawing/2012/chart" uri="{CE6537A1-D6FC-4f65-9D91-7224C49458BB}">
                <c15:layout/>
              </c:ext>
            </c:extLst>
          </c:dLbls>
          <c:cat>
            <c:strRef>
              <c:f>'Chart Data'!$G$8:$G$10</c:f>
              <c:strCache>
                <c:ptCount val="3"/>
                <c:pt idx="0">
                  <c:v>Retiring</c:v>
                </c:pt>
                <c:pt idx="1">
                  <c:v>Non Retiring</c:v>
                </c:pt>
                <c:pt idx="2">
                  <c:v>ID</c:v>
                </c:pt>
              </c:strCache>
            </c:strRef>
          </c:cat>
          <c:val>
            <c:numRef>
              <c:f>'Chart Data'!$H$8:$H$10</c:f>
              <c:numCache>
                <c:formatCode>General</c:formatCode>
                <c:ptCount val="3"/>
                <c:pt idx="0">
                  <c:v>3.0</c:v>
                </c:pt>
                <c:pt idx="1">
                  <c:v>2.0</c:v>
                </c:pt>
                <c:pt idx="2">
                  <c:v>4.0</c:v>
                </c:pt>
              </c:numCache>
            </c:numRef>
          </c:val>
        </c:ser>
        <c:dLbls>
          <c:dLblPos val="bestFit"/>
          <c:showLegendKey val="0"/>
          <c:showVal val="1"/>
          <c:showCatName val="0"/>
          <c:showSerName val="0"/>
          <c:showPercent val="0"/>
          <c:showBubbleSize val="0"/>
          <c:showLeaderLines val="1"/>
        </c:dLbls>
        <c:firstSliceAng val="0"/>
      </c:pieChart>
    </c:plotArea>
    <c:legend>
      <c:legendPos val="b"/>
      <c:layout>
        <c:manualLayout>
          <c:xMode val="edge"/>
          <c:yMode val="edge"/>
          <c:x val="0.0426486967604426"/>
          <c:y val="0.831987878025628"/>
          <c:w val="0.887492721676925"/>
          <c:h val="0.141742063492064"/>
        </c:manualLayout>
      </c:layout>
      <c:overlay val="0"/>
      <c:txPr>
        <a:bodyPr/>
        <a:lstStyle/>
        <a:p>
          <a:pPr rtl="0">
            <a:defRPr sz="900"/>
          </a:pPr>
          <a:endParaRPr lang="en-US"/>
        </a:p>
      </c:txPr>
    </c:legend>
    <c:plotVisOnly val="1"/>
    <c:dispBlanksAs val="zero"/>
    <c:showDLblsOverMax val="0"/>
  </c:chart>
  <c:spPr>
    <a:noFill/>
    <a:ln>
      <a:noFill/>
    </a:ln>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000" b="1">
                <a:solidFill>
                  <a:sysClr val="windowText" lastClr="000000"/>
                </a:solidFill>
              </a:rPr>
              <a:t>Board Composition</a:t>
            </a:r>
          </a:p>
        </c:rich>
      </c:tx>
      <c:layout>
        <c:manualLayout>
          <c:xMode val="edge"/>
          <c:yMode val="edge"/>
          <c:x val="0.362639449638759"/>
          <c:y val="0.00153928261188877"/>
        </c:manualLayout>
      </c:layout>
      <c:overlay val="0"/>
      <c:spPr>
        <a:noFill/>
        <a:ln>
          <a:noFill/>
        </a:ln>
        <a:effectLst/>
      </c:spPr>
    </c:title>
    <c:autoTitleDeleted val="0"/>
    <c:plotArea>
      <c:layout>
        <c:manualLayout>
          <c:layoutTarget val="inner"/>
          <c:xMode val="edge"/>
          <c:yMode val="edge"/>
          <c:x val="0.283358013705907"/>
          <c:y val="0.158540494938133"/>
          <c:w val="0.4061633420102"/>
          <c:h val="0.68801968503937"/>
        </c:manualLayout>
      </c:layout>
      <c:pieChart>
        <c:varyColors val="1"/>
        <c:ser>
          <c:idx val="0"/>
          <c:order val="0"/>
          <c:tx>
            <c:strRef>
              <c:f>'Chart Data'!$C$7</c:f>
              <c:strCache>
                <c:ptCount val="1"/>
              </c:strCache>
            </c:strRef>
          </c:tx>
          <c:dPt>
            <c:idx val="0"/>
            <c:bubble3D val="0"/>
            <c:spPr>
              <a:solidFill>
                <a:schemeClr val="accent2"/>
              </a:solidFill>
              <a:ln w="19050">
                <a:solidFill>
                  <a:schemeClr val="lt1"/>
                </a:solidFill>
              </a:ln>
              <a:effectLst/>
            </c:spPr>
          </c:dPt>
          <c:dPt>
            <c:idx val="1"/>
            <c:bubble3D val="0"/>
            <c:spPr>
              <a:solidFill>
                <a:schemeClr val="tx1">
                  <a:lumMod val="50000"/>
                  <a:lumOff val="50000"/>
                </a:schemeClr>
              </a:solidFill>
              <a:ln w="19050">
                <a:solidFill>
                  <a:schemeClr val="lt1"/>
                </a:solidFill>
              </a:ln>
              <a:effectLst/>
            </c:spPr>
          </c:dPt>
          <c:dPt>
            <c:idx val="2"/>
            <c:bubble3D val="0"/>
            <c:spPr>
              <a:solidFill>
                <a:schemeClr val="tx1">
                  <a:lumMod val="75000"/>
                  <a:lumOff val="25000"/>
                </a:schemeClr>
              </a:solidFill>
              <a:ln w="19050">
                <a:solidFill>
                  <a:schemeClr val="lt1"/>
                </a:solidFill>
              </a:ln>
              <a:effectLst/>
            </c:spPr>
          </c:dPt>
          <c:dPt>
            <c:idx val="3"/>
            <c:bubble3D val="0"/>
            <c:spPr>
              <a:solidFill>
                <a:srgbClr val="FFC000"/>
              </a:solidFill>
              <a:ln w="19050">
                <a:solidFill>
                  <a:schemeClr val="lt1"/>
                </a:solidFill>
              </a:ln>
              <a:effectLst/>
            </c:spPr>
          </c:dPt>
          <c:dLbls>
            <c:dLbl>
              <c:idx val="0"/>
              <c:layout>
                <c:manualLayout>
                  <c:x val="0.0863028912558436"/>
                  <c:y val="0.131987626546682"/>
                </c:manualLayout>
              </c:layout>
              <c:dLblPos val="bestFit"/>
              <c:showLegendKey val="0"/>
              <c:showVal val="1"/>
              <c:showCatName val="1"/>
              <c:showSerName val="0"/>
              <c:showPercent val="0"/>
              <c:showBubbleSize val="0"/>
              <c:separator> </c:separator>
              <c:extLst>
                <c:ext xmlns:c15="http://schemas.microsoft.com/office/drawing/2012/chart" uri="{CE6537A1-D6FC-4f65-9D91-7224C49458BB}">
                  <c15:layout>
                    <c:manualLayout>
                      <c:w val="0.31944020369075948"/>
                      <c:h val="0.31570536411820332"/>
                    </c:manualLayout>
                  </c15:layout>
                </c:ext>
              </c:extLst>
            </c:dLbl>
            <c:dLbl>
              <c:idx val="2"/>
              <c:layout>
                <c:manualLayout>
                  <c:x val="-0.0053410365046881"/>
                  <c:y val="-0.0347825848801199"/>
                </c:manualLayout>
              </c:layout>
              <c:numFmt formatCode="0%" sourceLinked="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c15:spPr>
                  <c15:layout>
                    <c:manualLayout>
                      <c:w val="0.34110001085072178"/>
                      <c:h val="0.41216062159491845"/>
                    </c:manualLayout>
                  </c15:layout>
                </c:ext>
              </c:extLst>
            </c:dLbl>
            <c:dLbl>
              <c:idx val="3"/>
              <c:layout>
                <c:manualLayout>
                  <c:x val="0.00843354892690183"/>
                  <c:y val="0.127640044994376"/>
                </c:manualLayout>
              </c:layout>
              <c:numFmt formatCode="0%" sourceLinked="0"/>
              <c:spPr>
                <a:noFill/>
                <a:ln>
                  <a:noFill/>
                </a:ln>
                <a:effectLst/>
              </c:spPr>
              <c:txPr>
                <a:bodyPr rot="0" spcFirstLastPara="1" vertOverflow="clip" horzOverflow="clip" vert="horz" wrap="square" lIns="38100" tIns="19050" rIns="38100" bIns="19050" anchor="ctr" anchorCtr="1">
                  <a:noAutofit/>
                </a:bodyPr>
                <a:lstStyle/>
                <a:p>
                  <a:pPr>
                    <a:defRPr sz="900" b="0" i="0" u="none" strike="noStrike" kern="1200" baseline="0">
                      <a:solidFill>
                        <a:sysClr val="windowText" lastClr="000000"/>
                      </a:solidFill>
                      <a:latin typeface="+mn-lt"/>
                      <a:ea typeface="+mn-ea"/>
                      <a:cs typeface="+mn-cs"/>
                    </a:defRPr>
                  </a:pPr>
                  <a:endParaRPr lang="en-US"/>
                </a:p>
              </c:txPr>
              <c:dLblPos val="bestFit"/>
              <c:showLegendKey val="0"/>
              <c:showVal val="1"/>
              <c:showCatName val="1"/>
              <c:showSerName val="0"/>
              <c:showPercent val="0"/>
              <c:showBubbleSize val="0"/>
              <c:separator> </c:separator>
              <c:extLst>
                <c:ext xmlns:c15="http://schemas.microsoft.com/office/drawing/2012/chart" uri="{CE6537A1-D6FC-4f65-9D91-7224C49458BB}">
                  <c15:spPr xmlns:c15="http://schemas.microsoft.com/office/drawing/2012/chart">
                    <a:prstGeom prst="wedgeRectCallout">
                      <a:avLst/>
                    </a:prstGeom>
                  </c15:spPr>
                  <c15:layout>
                    <c:manualLayout>
                      <c:w val="0.32507627048073745"/>
                      <c:h val="0.35129041335815581"/>
                    </c:manualLayout>
                  </c15:layout>
                </c:ext>
              </c:extLst>
            </c:dLbl>
            <c:numFmt formatCode="0%" sourceLinked="0"/>
            <c:spPr>
              <a:noFill/>
              <a:ln>
                <a:no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1"/>
            <c:showSerName val="0"/>
            <c:showPercent val="0"/>
            <c:showBubbleSize val="0"/>
            <c:separator> </c:separator>
            <c:showLeaderLines val="0"/>
            <c:extLst>
              <c:ext xmlns:c15="http://schemas.microsoft.com/office/drawing/2012/chart" uri="{CE6537A1-D6FC-4f65-9D91-7224C49458BB}">
                <c15:spPr xmlns:c15="http://schemas.microsoft.com/office/drawing/2012/chart">
                  <a:prstGeom prst="wedgeRectCallout">
                    <a:avLst/>
                  </a:prstGeom>
                </c15:spPr>
                <c15:layout/>
              </c:ext>
            </c:extLst>
          </c:dLbls>
          <c:cat>
            <c:strRef>
              <c:f>'Chart Data'!$B$8:$B$11</c:f>
              <c:strCache>
                <c:ptCount val="4"/>
                <c:pt idx="0">
                  <c:v>ID as per SES:</c:v>
                </c:pt>
                <c:pt idx="1">
                  <c:v>NID as per SES:</c:v>
                </c:pt>
                <c:pt idx="2">
                  <c:v>NID as per Company:</c:v>
                </c:pt>
                <c:pt idx="3">
                  <c:v>ID as per Company:</c:v>
                </c:pt>
              </c:strCache>
            </c:strRef>
          </c:cat>
          <c:val>
            <c:numRef>
              <c:f>'Chart Data'!$C$8:$C$11</c:f>
              <c:numCache>
                <c:formatCode>General</c:formatCode>
                <c:ptCount val="4"/>
                <c:pt idx="0">
                  <c:v>0.222222222222222</c:v>
                </c:pt>
                <c:pt idx="1">
                  <c:v>0.777777777777778</c:v>
                </c:pt>
                <c:pt idx="2">
                  <c:v>0.444444444444444</c:v>
                </c:pt>
                <c:pt idx="3">
                  <c:v>0.555555555555556</c:v>
                </c:pt>
              </c:numCache>
            </c:numRef>
          </c:val>
        </c:ser>
        <c:ser>
          <c:idx val="1"/>
          <c:order val="1"/>
          <c:tx>
            <c:strRef>
              <c:f>'Chart Data'!$D$7</c:f>
              <c:strCache>
                <c:ptCount val="1"/>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'Chart Data'!$B$8:$B$11</c:f>
              <c:strCache>
                <c:ptCount val="4"/>
                <c:pt idx="0">
                  <c:v>ID as per SES:</c:v>
                </c:pt>
                <c:pt idx="1">
                  <c:v>NID as per SES:</c:v>
                </c:pt>
                <c:pt idx="2">
                  <c:v>NID as per Company:</c:v>
                </c:pt>
                <c:pt idx="3">
                  <c:v>ID as per Company:</c:v>
                </c:pt>
              </c:strCache>
            </c:strRef>
          </c:cat>
          <c:val>
            <c:numRef>
              <c:f>'Chart Data'!$D$8:$D$11</c:f>
              <c:numCache>
                <c:formatCode>General</c:formatCode>
                <c:ptCount val="4"/>
                <c:pt idx="0">
                  <c:v>2.0</c:v>
                </c:pt>
                <c:pt idx="1">
                  <c:v>7.0</c:v>
                </c:pt>
                <c:pt idx="2">
                  <c:v>4.0</c:v>
                </c:pt>
                <c:pt idx="3">
                  <c:v>5.0</c:v>
                </c:pt>
              </c:numCache>
            </c:numRef>
          </c:val>
        </c:ser>
        <c:ser>
          <c:idx val="2"/>
          <c:order val="2"/>
          <c:tx>
            <c:strRef>
              <c:f>'Chart Data'!$E$7</c:f>
              <c:strCache>
                <c:ptCount val="1"/>
                <c:pt idx="0">
                  <c:v>total directors</c:v>
                </c:pt>
              </c:strCache>
            </c:strRef>
          </c:tx>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cat>
            <c:strRef>
              <c:f>'Chart Data'!$B$8:$B$11</c:f>
              <c:strCache>
                <c:ptCount val="4"/>
                <c:pt idx="0">
                  <c:v>ID as per SES:</c:v>
                </c:pt>
                <c:pt idx="1">
                  <c:v>NID as per SES:</c:v>
                </c:pt>
                <c:pt idx="2">
                  <c:v>NID as per Company:</c:v>
                </c:pt>
                <c:pt idx="3">
                  <c:v>ID as per Company:</c:v>
                </c:pt>
              </c:strCache>
            </c:strRef>
          </c:cat>
          <c:val>
            <c:numRef>
              <c:f>'Chart Data'!$E$8:$E$11</c:f>
              <c:numCache>
                <c:formatCode>General</c:formatCode>
                <c:ptCount val="4"/>
                <c:pt idx="0">
                  <c:v>9.0</c:v>
                </c:pt>
                <c:pt idx="1">
                  <c:v>9.0</c:v>
                </c:pt>
                <c:pt idx="2">
                  <c:v>9.0</c:v>
                </c:pt>
                <c:pt idx="3">
                  <c:v>9.0</c:v>
                </c:pt>
              </c:numCache>
            </c:numRef>
          </c:val>
        </c:ser>
        <c:dLbls>
          <c:showLegendKey val="0"/>
          <c:showVal val="0"/>
          <c:showCatName val="0"/>
          <c:showSerName val="0"/>
          <c:showPercent val="0"/>
          <c:showBubbleSize val="0"/>
          <c:showLeaderLines val="0"/>
        </c:dLbls>
        <c:firstSliceAng val="0"/>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68162654019833"/>
          <c:y val="0.0713298837645294"/>
          <c:w val="0.732560000605112"/>
          <c:h val="0.592351556055493"/>
        </c:manualLayout>
      </c:layout>
      <c:lineChart>
        <c:grouping val="standard"/>
        <c:varyColors val="0"/>
        <c:ser>
          <c:idx val="2"/>
          <c:order val="1"/>
          <c:tx>
            <c:strRef>
              <c:f>Template_P4!$M$3</c:f>
              <c:strCache>
                <c:ptCount val="1"/>
                <c:pt idx="0">
                  <c:v>MD (RHS)</c:v>
                </c:pt>
              </c:strCache>
            </c:strRef>
          </c:tx>
          <c:spPr>
            <a:ln>
              <a:solidFill>
                <a:srgbClr val="FFC000"/>
              </a:solidFill>
            </a:ln>
          </c:spPr>
          <c:marker>
            <c:symbol val="x"/>
            <c:size val="5"/>
            <c:spPr>
              <a:solidFill>
                <a:srgbClr val="FFD200"/>
              </a:solidFill>
              <a:ln w="41275"/>
            </c:spPr>
          </c:marker>
          <c:dLbls>
            <c:dLbl>
              <c:idx val="0"/>
              <c:layout>
                <c:manualLayout>
                  <c:x val="-0.0897555061052152"/>
                  <c:y val="-0.0902547475683187"/>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0.0607699988588383"/>
                  <c:y val="-0.0824116103134167"/>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00807058085130657"/>
                  <c:y val="0.0195491740003088"/>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0.100625071322606"/>
                  <c:y val="-0.0902547475683187"/>
                </c:manualLayout>
              </c:layout>
              <c:dLblPos val="r"/>
              <c:showLegendKey val="0"/>
              <c:showVal val="1"/>
              <c:showCatName val="0"/>
              <c:showSerName val="0"/>
              <c:showPercent val="0"/>
              <c:showBubbleSize val="0"/>
              <c:extLst>
                <c:ext xmlns:c15="http://schemas.microsoft.com/office/drawing/2012/chart" uri="{CE6537A1-D6FC-4f65-9D91-7224C49458BB}">
                  <c15:layout/>
                </c:ext>
              </c:extLst>
            </c:dLbl>
            <c:numFmt formatCode="&quot;$&quot;\ #,##0.00" sourceLinked="0"/>
            <c:spPr>
              <a:noFill/>
              <a:ln w="25400">
                <a:noFill/>
              </a:ln>
            </c:spPr>
            <c:txPr>
              <a:bodyPr/>
              <a:lstStyle/>
              <a:p>
                <a:pPr>
                  <a:defRPr sz="900"/>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Template_P4!$L$4:$L$8</c:f>
              <c:numCache>
                <c:formatCode>General</c:formatCode>
                <c:ptCount val="5"/>
                <c:pt idx="0">
                  <c:v>2011.0</c:v>
                </c:pt>
                <c:pt idx="1">
                  <c:v>2012.0</c:v>
                </c:pt>
                <c:pt idx="2">
                  <c:v>2013.0</c:v>
                </c:pt>
                <c:pt idx="3">
                  <c:v>2014.0</c:v>
                </c:pt>
                <c:pt idx="4">
                  <c:v>2015.0</c:v>
                </c:pt>
              </c:numCache>
            </c:numRef>
          </c:cat>
          <c:val>
            <c:numRef>
              <c:f>Template_P4!$M$4:$M$8</c:f>
              <c:numCache>
                <c:formatCode>"$"\ #,##0.00</c:formatCode>
                <c:ptCount val="5"/>
                <c:pt idx="0">
                  <c:v>0.01</c:v>
                </c:pt>
                <c:pt idx="1">
                  <c:v>0.014</c:v>
                </c:pt>
                <c:pt idx="2">
                  <c:v>0.015</c:v>
                </c:pt>
                <c:pt idx="3">
                  <c:v>0.0165</c:v>
                </c:pt>
                <c:pt idx="4">
                  <c:v>0.0135</c:v>
                </c:pt>
              </c:numCache>
            </c:numRef>
          </c:val>
          <c:smooth val="0"/>
        </c:ser>
        <c:dLbls>
          <c:showLegendKey val="0"/>
          <c:showVal val="0"/>
          <c:showCatName val="0"/>
          <c:showSerName val="0"/>
          <c:showPercent val="0"/>
          <c:showBubbleSize val="0"/>
        </c:dLbls>
        <c:marker val="1"/>
        <c:smooth val="0"/>
        <c:axId val="2144593944"/>
        <c:axId val="2144599880"/>
      </c:lineChart>
      <c:lineChart>
        <c:grouping val="standard"/>
        <c:varyColors val="0"/>
        <c:ser>
          <c:idx val="0"/>
          <c:order val="0"/>
          <c:tx>
            <c:strRef>
              <c:f>Template_P4!$N$3</c:f>
              <c:strCache>
                <c:ptCount val="1"/>
                <c:pt idx="0">
                  <c:v>Indexed TSR (LHS)</c:v>
                </c:pt>
              </c:strCache>
            </c:strRef>
          </c:tx>
          <c:spPr>
            <a:ln>
              <a:solidFill>
                <a:sysClr val="windowText" lastClr="000000"/>
              </a:solidFill>
            </a:ln>
          </c:spPr>
          <c:marker>
            <c:symbol val="diamond"/>
            <c:size val="5"/>
            <c:spPr>
              <a:solidFill>
                <a:sysClr val="windowText" lastClr="000000"/>
              </a:solidFill>
              <a:ln w="41275">
                <a:solidFill>
                  <a:sysClr val="windowText" lastClr="000000"/>
                </a:solidFill>
              </a:ln>
            </c:spPr>
          </c:marker>
          <c:dLbls>
            <c:dLbl>
              <c:idx val="0"/>
              <c:layout>
                <c:manualLayout>
                  <c:x val="-0.092165069040283"/>
                  <c:y val="0.0619410220781226"/>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0.0397555061052151"/>
                  <c:y val="0.0854704338428284"/>
                </c:manualLayout>
              </c:layout>
              <c:dLblPos val="r"/>
              <c:showLegendKey val="0"/>
              <c:showVal val="1"/>
              <c:showCatName val="0"/>
              <c:showSerName val="0"/>
              <c:showPercent val="0"/>
              <c:showBubbleSize val="0"/>
              <c:extLst>
                <c:ext xmlns:c15="http://schemas.microsoft.com/office/drawing/2012/chart" uri="{CE6537A1-D6FC-4f65-9D91-7224C49458BB}">
                  <c15:layout/>
                </c:ext>
              </c:extLst>
            </c:dLbl>
            <c:spPr>
              <a:noFill/>
              <a:ln>
                <a:noFill/>
              </a:ln>
              <a:effectLst/>
            </c:spPr>
            <c:txPr>
              <a:bodyPr wrap="square" lIns="38100" tIns="19050" rIns="38100" bIns="19050" anchor="ctr">
                <a:spAutoFit/>
              </a:bodyPr>
              <a:lstStyle/>
              <a:p>
                <a:pPr>
                  <a:defRPr sz="9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Template_P4!$L$4:$L$8</c:f>
              <c:numCache>
                <c:formatCode>General</c:formatCode>
                <c:ptCount val="5"/>
                <c:pt idx="0">
                  <c:v>2011.0</c:v>
                </c:pt>
                <c:pt idx="1">
                  <c:v>2012.0</c:v>
                </c:pt>
                <c:pt idx="2">
                  <c:v>2013.0</c:v>
                </c:pt>
                <c:pt idx="3">
                  <c:v>2014.0</c:v>
                </c:pt>
                <c:pt idx="4">
                  <c:v>2015.0</c:v>
                </c:pt>
              </c:numCache>
            </c:numRef>
          </c:cat>
          <c:val>
            <c:numRef>
              <c:f>Template_P4!$N$4:$N$8</c:f>
              <c:numCache>
                <c:formatCode>0.00</c:formatCode>
                <c:ptCount val="5"/>
                <c:pt idx="0">
                  <c:v>265.8549783549784</c:v>
                </c:pt>
                <c:pt idx="1">
                  <c:v>470.7792207792208</c:v>
                </c:pt>
                <c:pt idx="2">
                  <c:v>790.6385281385282</c:v>
                </c:pt>
                <c:pt idx="3">
                  <c:v>1293.290043290043</c:v>
                </c:pt>
                <c:pt idx="4">
                  <c:v>0.0</c:v>
                </c:pt>
              </c:numCache>
            </c:numRef>
          </c:val>
          <c:smooth val="0"/>
        </c:ser>
        <c:dLbls>
          <c:showLegendKey val="0"/>
          <c:showVal val="0"/>
          <c:showCatName val="0"/>
          <c:showSerName val="0"/>
          <c:showPercent val="0"/>
          <c:showBubbleSize val="0"/>
        </c:dLbls>
        <c:marker val="1"/>
        <c:smooth val="0"/>
        <c:axId val="2144585192"/>
        <c:axId val="2144590824"/>
      </c:lineChart>
      <c:valAx>
        <c:axId val="2144599880"/>
        <c:scaling>
          <c:orientation val="minMax"/>
        </c:scaling>
        <c:delete val="0"/>
        <c:axPos val="r"/>
        <c:title>
          <c:tx>
            <c:rich>
              <a:bodyPr/>
              <a:lstStyle/>
              <a:p>
                <a:pPr>
                  <a:defRPr/>
                </a:pPr>
                <a:r>
                  <a:rPr lang="en-IN"/>
                  <a:t>Director</a:t>
                </a:r>
                <a:r>
                  <a:rPr lang="en-IN" baseline="0"/>
                  <a:t> Remuneration</a:t>
                </a:r>
                <a:endParaRPr lang="en-IN"/>
              </a:p>
            </c:rich>
          </c:tx>
          <c:layout>
            <c:manualLayout>
              <c:xMode val="edge"/>
              <c:yMode val="edge"/>
              <c:x val="0.942060082163643"/>
              <c:y val="0.0484724409448819"/>
            </c:manualLayout>
          </c:layout>
          <c:overlay val="0"/>
        </c:title>
        <c:numFmt formatCode="#,##0" sourceLinked="0"/>
        <c:majorTickMark val="out"/>
        <c:minorTickMark val="none"/>
        <c:tickLblPos val="nextTo"/>
        <c:txPr>
          <a:bodyPr/>
          <a:lstStyle/>
          <a:p>
            <a:pPr>
              <a:defRPr sz="900"/>
            </a:pPr>
            <a:endParaRPr lang="en-US"/>
          </a:p>
        </c:txPr>
        <c:crossAx val="2144593944"/>
        <c:crosses val="max"/>
        <c:crossBetween val="between"/>
      </c:valAx>
      <c:catAx>
        <c:axId val="2144593944"/>
        <c:scaling>
          <c:orientation val="minMax"/>
        </c:scaling>
        <c:delete val="0"/>
        <c:axPos val="b"/>
        <c:numFmt formatCode="General" sourceLinked="1"/>
        <c:majorTickMark val="out"/>
        <c:minorTickMark val="none"/>
        <c:tickLblPos val="nextTo"/>
        <c:crossAx val="2144599880"/>
        <c:crosses val="autoZero"/>
        <c:auto val="1"/>
        <c:lblAlgn val="ctr"/>
        <c:lblOffset val="100"/>
        <c:noMultiLvlLbl val="0"/>
      </c:catAx>
      <c:valAx>
        <c:axId val="2144590824"/>
        <c:scaling>
          <c:orientation val="minMax"/>
        </c:scaling>
        <c:delete val="0"/>
        <c:axPos val="l"/>
        <c:title>
          <c:tx>
            <c:rich>
              <a:bodyPr/>
              <a:lstStyle/>
              <a:p>
                <a:pPr>
                  <a:defRPr/>
                </a:pPr>
                <a:r>
                  <a:rPr lang="en-IN"/>
                  <a:t>Indexed</a:t>
                </a:r>
                <a:r>
                  <a:rPr lang="en-IN" baseline="0"/>
                  <a:t> TSR </a:t>
                </a:r>
                <a:endParaRPr lang="en-IN"/>
              </a:p>
            </c:rich>
          </c:tx>
          <c:layout>
            <c:manualLayout>
              <c:xMode val="edge"/>
              <c:yMode val="edge"/>
              <c:x val="0.00395469588040625"/>
              <c:y val="0.132586691369461"/>
            </c:manualLayout>
          </c:layout>
          <c:overlay val="0"/>
        </c:title>
        <c:numFmt formatCode="0" sourceLinked="0"/>
        <c:majorTickMark val="out"/>
        <c:minorTickMark val="none"/>
        <c:tickLblPos val="nextTo"/>
        <c:crossAx val="2144585192"/>
        <c:crosses val="autoZero"/>
        <c:crossBetween val="between"/>
      </c:valAx>
      <c:catAx>
        <c:axId val="2144585192"/>
        <c:scaling>
          <c:orientation val="minMax"/>
        </c:scaling>
        <c:delete val="1"/>
        <c:axPos val="t"/>
        <c:numFmt formatCode="General" sourceLinked="1"/>
        <c:majorTickMark val="out"/>
        <c:minorTickMark val="none"/>
        <c:tickLblPos val="nextTo"/>
        <c:crossAx val="2144590824"/>
        <c:crosses val="max"/>
        <c:auto val="1"/>
        <c:lblAlgn val="ctr"/>
        <c:lblOffset val="100"/>
        <c:noMultiLvlLbl val="0"/>
      </c:catAx>
      <c:spPr>
        <a:solidFill>
          <a:srgbClr val="FFFFFF"/>
        </a:solidFill>
        <a:ln w="25400">
          <a:noFill/>
        </a:ln>
      </c:spPr>
    </c:plotArea>
    <c:legend>
      <c:legendPos val="r"/>
      <c:layout>
        <c:manualLayout>
          <c:xMode val="edge"/>
          <c:yMode val="edge"/>
          <c:x val="0.0"/>
          <c:y val="0.780192064227265"/>
          <c:w val="1.0"/>
          <c:h val="0.219807935772734"/>
        </c:manualLayout>
      </c:layout>
      <c:overlay val="0"/>
      <c:spPr>
        <a:noFill/>
        <a:ln w="25400">
          <a:noFill/>
        </a:ln>
      </c:spPr>
      <c:txPr>
        <a:bodyPr/>
        <a:lstStyle/>
        <a:p>
          <a:pPr>
            <a:defRPr sz="900"/>
          </a:pPr>
          <a:endParaRPr lang="en-US"/>
        </a:p>
      </c:txPr>
    </c:legend>
    <c:plotVisOnly val="1"/>
    <c:dispBlanksAs val="gap"/>
    <c:showDLblsOverMax val="0"/>
  </c:chart>
  <c:spPr>
    <a:solidFill>
      <a:srgbClr val="FFFFFF"/>
    </a:solidFill>
    <a:ln>
      <a:noFill/>
    </a:ln>
  </c:spPr>
  <c:printSettings>
    <c:headerFooter/>
    <c:pageMargins b="0.75" l="0.7" r="0.7" t="0.75" header="0.3" footer="0.3"/>
    <c:pageSetup/>
  </c:printSettings>
  <c:userShapes r:id="rId2"/>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0118518518518519"/>
          <c:y val="0.0299625468164794"/>
          <c:w val="0.982222222222222"/>
          <c:h val="0.645849268841395"/>
        </c:manualLayout>
      </c:layout>
      <c:barChart>
        <c:barDir val="col"/>
        <c:grouping val="clustered"/>
        <c:varyColors val="0"/>
        <c:ser>
          <c:idx val="0"/>
          <c:order val="0"/>
          <c:tx>
            <c:strRef>
              <c:f>Template_P4!$L$34</c:f>
              <c:strCache>
                <c:ptCount val="1"/>
                <c:pt idx="0">
                  <c:v>Promoter</c:v>
                </c:pt>
              </c:strCache>
            </c:strRef>
          </c:tx>
          <c:spPr>
            <a:solidFill>
              <a:schemeClr val="accent6">
                <a:lumMod val="7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Template_P4!$M$33:$N$33</c:f>
              <c:strCache>
                <c:ptCount val="2"/>
                <c:pt idx="0">
                  <c:v>Executive</c:v>
                </c:pt>
                <c:pt idx="1">
                  <c:v>Non-Executive</c:v>
                </c:pt>
              </c:strCache>
            </c:strRef>
          </c:cat>
          <c:val>
            <c:numRef>
              <c:f>Template_P4!$M$34:$N$34</c:f>
              <c:numCache>
                <c:formatCode>0.00</c:formatCode>
                <c:ptCount val="2"/>
                <c:pt idx="0" formatCode="&quot;$&quot;\ #,##0.00">
                  <c:v>0.0</c:v>
                </c:pt>
                <c:pt idx="1">
                  <c:v>0.009</c:v>
                </c:pt>
              </c:numCache>
            </c:numRef>
          </c:val>
        </c:ser>
        <c:ser>
          <c:idx val="1"/>
          <c:order val="1"/>
          <c:tx>
            <c:strRef>
              <c:f>Template_P4!$L$35</c:f>
              <c:strCache>
                <c:ptCount val="1"/>
                <c:pt idx="0">
                  <c:v>Non-Promoter</c:v>
                </c:pt>
              </c:strCache>
            </c:strRef>
          </c:tx>
          <c:spPr>
            <a:solidFill>
              <a:schemeClr val="bg1">
                <a:lumMod val="85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Template_P4!$M$33:$N$33</c:f>
              <c:strCache>
                <c:ptCount val="2"/>
                <c:pt idx="0">
                  <c:v>Executive</c:v>
                </c:pt>
                <c:pt idx="1">
                  <c:v>Non-Executive</c:v>
                </c:pt>
              </c:strCache>
            </c:strRef>
          </c:cat>
          <c:val>
            <c:numRef>
              <c:f>Template_P4!$M$35:$N$35</c:f>
              <c:numCache>
                <c:formatCode>0.00</c:formatCode>
                <c:ptCount val="2"/>
                <c:pt idx="0" formatCode="&quot;$&quot;\ #,##0.00">
                  <c:v>1.435</c:v>
                </c:pt>
                <c:pt idx="1">
                  <c:v>0.0126</c:v>
                </c:pt>
              </c:numCache>
            </c:numRef>
          </c:val>
        </c:ser>
        <c:dLbls>
          <c:showLegendKey val="0"/>
          <c:showVal val="0"/>
          <c:showCatName val="0"/>
          <c:showSerName val="0"/>
          <c:showPercent val="0"/>
          <c:showBubbleSize val="0"/>
        </c:dLbls>
        <c:gapWidth val="90"/>
        <c:overlap val="-27"/>
        <c:axId val="2144551208"/>
        <c:axId val="2144547768"/>
      </c:barChart>
      <c:catAx>
        <c:axId val="2144551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144547768"/>
        <c:crosses val="autoZero"/>
        <c:auto val="1"/>
        <c:lblAlgn val="ctr"/>
        <c:lblOffset val="100"/>
        <c:noMultiLvlLbl val="0"/>
      </c:catAx>
      <c:valAx>
        <c:axId val="2144547768"/>
        <c:scaling>
          <c:orientation val="minMax"/>
        </c:scaling>
        <c:delete val="1"/>
        <c:axPos val="l"/>
        <c:numFmt formatCode="&quot;$&quot;\ #,##0.00" sourceLinked="1"/>
        <c:majorTickMark val="none"/>
        <c:minorTickMark val="none"/>
        <c:tickLblPos val="nextTo"/>
        <c:crossAx val="2144551208"/>
        <c:crosses val="autoZero"/>
        <c:crossBetween val="between"/>
      </c:valAx>
      <c:spPr>
        <a:noFill/>
        <a:ln>
          <a:noFill/>
        </a:ln>
        <a:effectLst/>
      </c:spPr>
    </c:plotArea>
    <c:legend>
      <c:legendPos val="b"/>
      <c:layout>
        <c:manualLayout>
          <c:xMode val="edge"/>
          <c:yMode val="edge"/>
          <c:x val="0.115916710411199"/>
          <c:y val="0.797532508436445"/>
          <c:w val="0.768166112569262"/>
          <c:h val="0.128572328458943"/>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1"/>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40197878292159"/>
          <c:y val="0.158327854649237"/>
          <c:w val="0.671056867891514"/>
          <c:h val="0.556026297683663"/>
        </c:manualLayout>
      </c:layout>
      <c:barChart>
        <c:barDir val="col"/>
        <c:grouping val="clustered"/>
        <c:varyColors val="0"/>
        <c:ser>
          <c:idx val="0"/>
          <c:order val="0"/>
          <c:tx>
            <c:strRef>
              <c:f>Graphs!$H$2</c:f>
              <c:strCache>
                <c:ptCount val="1"/>
                <c:pt idx="0">
                  <c:v>Dividend (LHS)</c:v>
                </c:pt>
              </c:strCache>
            </c:strRef>
          </c:tx>
          <c:spPr>
            <a:solidFill>
              <a:srgbClr val="FFC000"/>
            </a:solidFill>
            <a:ln w="9525" cap="flat" cmpd="sng" algn="ctr">
              <a:noFill/>
              <a:prstDash val="solid"/>
            </a:ln>
            <a:effectLst/>
          </c:spPr>
          <c:invertIfNegative val="0"/>
          <c:dLbls>
            <c:dLbl>
              <c:idx val="1"/>
              <c:layout>
                <c:manualLayout>
                  <c:x val="-0.00444018218032524"/>
                  <c:y val="0.0241126611881561"/>
                </c:manualLayout>
              </c:layout>
              <c:showLegendKey val="0"/>
              <c:showVal val="1"/>
              <c:showCatName val="0"/>
              <c:showSerName val="0"/>
              <c:showPercent val="0"/>
              <c:showBubbleSize val="0"/>
              <c:extLst>
                <c:ext xmlns:c15="http://schemas.microsoft.com/office/drawing/2012/chart" uri="{CE6537A1-D6FC-4f65-9D91-7224C49458BB}">
                  <c15:layout/>
                </c:ext>
              </c:extLst>
            </c:dLbl>
            <c:numFmt formatCode="#,##0.00" sourceLinked="0"/>
            <c:spPr>
              <a:noFill/>
              <a:ln>
                <a:noFill/>
              </a:ln>
              <a:effectLst/>
            </c:spPr>
            <c:txPr>
              <a:bodyPr/>
              <a:lstStyle/>
              <a:p>
                <a:pPr>
                  <a:defRPr sz="900">
                    <a:solidFill>
                      <a:schemeClr val="tx1"/>
                    </a:solidFill>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Graphs!$G$5:$G$7</c:f>
              <c:numCache>
                <c:formatCode>General</c:formatCode>
                <c:ptCount val="3"/>
                <c:pt idx="0">
                  <c:v>2013.0</c:v>
                </c:pt>
                <c:pt idx="1">
                  <c:v>2014.0</c:v>
                </c:pt>
                <c:pt idx="2">
                  <c:v>2015.0</c:v>
                </c:pt>
              </c:numCache>
            </c:numRef>
          </c:cat>
          <c:val>
            <c:numRef>
              <c:f>Graphs!$H$5:$H$7</c:f>
              <c:numCache>
                <c:formatCode>General</c:formatCode>
                <c:ptCount val="3"/>
                <c:pt idx="0">
                  <c:v>9.0</c:v>
                </c:pt>
                <c:pt idx="1">
                  <c:v>9.0</c:v>
                </c:pt>
                <c:pt idx="2">
                  <c:v>0.0</c:v>
                </c:pt>
              </c:numCache>
            </c:numRef>
          </c:val>
        </c:ser>
        <c:ser>
          <c:idx val="1"/>
          <c:order val="1"/>
          <c:tx>
            <c:strRef>
              <c:f>Graphs!$I$2</c:f>
              <c:strCache>
                <c:ptCount val="1"/>
                <c:pt idx="0">
                  <c:v>EPS (LHS)</c:v>
                </c:pt>
              </c:strCache>
            </c:strRef>
          </c:tx>
          <c:spPr>
            <a:solidFill>
              <a:schemeClr val="bg1">
                <a:lumMod val="85000"/>
              </a:schemeClr>
            </a:solidFill>
            <a:ln w="9525" cap="flat" cmpd="sng" algn="ctr">
              <a:noFill/>
              <a:prstDash val="solid"/>
            </a:ln>
            <a:effectLst/>
          </c:spPr>
          <c:invertIfNegative val="0"/>
          <c:dLbls>
            <c:numFmt formatCode="#,##0.00" sourceLinked="0"/>
            <c:spPr>
              <a:noFill/>
              <a:ln>
                <a:noFill/>
              </a:ln>
              <a:effectLst/>
            </c:spPr>
            <c:txPr>
              <a:bodyPr/>
              <a:lstStyle/>
              <a:p>
                <a:pPr>
                  <a:defRPr sz="900"/>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0"/>
              </c:ext>
            </c:extLst>
          </c:dLbls>
          <c:cat>
            <c:numRef>
              <c:f>Graphs!$G$5:$G$7</c:f>
              <c:numCache>
                <c:formatCode>General</c:formatCode>
                <c:ptCount val="3"/>
                <c:pt idx="0">
                  <c:v>2013.0</c:v>
                </c:pt>
                <c:pt idx="1">
                  <c:v>2014.0</c:v>
                </c:pt>
                <c:pt idx="2">
                  <c:v>2015.0</c:v>
                </c:pt>
              </c:numCache>
            </c:numRef>
          </c:cat>
          <c:val>
            <c:numRef>
              <c:f>Graphs!$I$5:$I$7</c:f>
              <c:numCache>
                <c:formatCode>0.00</c:formatCode>
                <c:ptCount val="3"/>
                <c:pt idx="0">
                  <c:v>96.87</c:v>
                </c:pt>
                <c:pt idx="1">
                  <c:v>78.21</c:v>
                </c:pt>
                <c:pt idx="2">
                  <c:v>73.44</c:v>
                </c:pt>
              </c:numCache>
            </c:numRef>
          </c:val>
        </c:ser>
        <c:dLbls>
          <c:showLegendKey val="0"/>
          <c:showVal val="0"/>
          <c:showCatName val="0"/>
          <c:showSerName val="0"/>
          <c:showPercent val="0"/>
          <c:showBubbleSize val="0"/>
        </c:dLbls>
        <c:gapWidth val="100"/>
        <c:axId val="2144465416"/>
        <c:axId val="2144462248"/>
      </c:barChart>
      <c:lineChart>
        <c:grouping val="standard"/>
        <c:varyColors val="0"/>
        <c:ser>
          <c:idx val="2"/>
          <c:order val="2"/>
          <c:tx>
            <c:strRef>
              <c:f>Graphs!$J$2</c:f>
              <c:strCache>
                <c:ptCount val="1"/>
                <c:pt idx="0">
                  <c:v>Payout (RHS)</c:v>
                </c:pt>
              </c:strCache>
            </c:strRef>
          </c:tx>
          <c:spPr>
            <a:ln w="19050">
              <a:solidFill>
                <a:schemeClr val="tx1">
                  <a:lumMod val="65000"/>
                  <a:lumOff val="35000"/>
                </a:schemeClr>
              </a:solidFill>
            </a:ln>
          </c:spPr>
          <c:marker>
            <c:symbol val="diamond"/>
            <c:size val="5"/>
            <c:spPr>
              <a:solidFill>
                <a:schemeClr val="tx2"/>
              </a:solidFill>
              <a:ln w="19050">
                <a:solidFill>
                  <a:schemeClr val="tx1">
                    <a:lumMod val="65000"/>
                    <a:lumOff val="35000"/>
                  </a:schemeClr>
                </a:solidFill>
              </a:ln>
            </c:spPr>
          </c:marker>
          <c:dLbls>
            <c:dLbl>
              <c:idx val="0"/>
              <c:layout>
                <c:manualLayout>
                  <c:x val="-0.115322719083658"/>
                  <c:y val="0.0753971587880445"/>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1"/>
              <c:layout>
                <c:manualLayout>
                  <c:x val="-0.0928386154602948"/>
                  <c:y val="0.0639654790231714"/>
                </c:manualLayout>
              </c:layout>
              <c:dLblPos val="r"/>
              <c:showLegendKey val="0"/>
              <c:showVal val="1"/>
              <c:showCatName val="0"/>
              <c:showSerName val="0"/>
              <c:showPercent val="0"/>
              <c:showBubbleSize val="0"/>
              <c:extLst>
                <c:ext xmlns:c15="http://schemas.microsoft.com/office/drawing/2012/chart" uri="{CE6537A1-D6FC-4f65-9D91-7224C49458BB}">
                  <c15:layout/>
                </c:ext>
              </c:extLst>
            </c:dLbl>
            <c:dLbl>
              <c:idx val="2"/>
              <c:layout>
                <c:manualLayout>
                  <c:x val="-0.0577743446626135"/>
                  <c:y val="-0.111568746214416"/>
                </c:manualLayout>
              </c:layout>
              <c:dLblPos val="r"/>
              <c:showLegendKey val="0"/>
              <c:showVal val="1"/>
              <c:showCatName val="0"/>
              <c:showSerName val="0"/>
              <c:showPercent val="0"/>
              <c:showBubbleSize val="0"/>
              <c:extLst>
                <c:ext xmlns:c15="http://schemas.microsoft.com/office/drawing/2012/chart" uri="{CE6537A1-D6FC-4f65-9D91-7224C49458BB}">
                  <c15:layout/>
                </c:ext>
              </c:extLst>
            </c:dLbl>
            <c:numFmt formatCode="0.00%" sourceLinked="0"/>
            <c:spPr>
              <a:noFill/>
              <a:ln>
                <a:noFill/>
              </a:ln>
              <a:effectLst/>
            </c:spPr>
            <c:txPr>
              <a:bodyPr/>
              <a:lstStyle/>
              <a:p>
                <a:pPr>
                  <a:defRPr sz="900"/>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numRef>
              <c:f>Graphs!$G$5:$G$7</c:f>
              <c:numCache>
                <c:formatCode>General</c:formatCode>
                <c:ptCount val="3"/>
                <c:pt idx="0">
                  <c:v>2013.0</c:v>
                </c:pt>
                <c:pt idx="1">
                  <c:v>2014.0</c:v>
                </c:pt>
                <c:pt idx="2">
                  <c:v>2015.0</c:v>
                </c:pt>
              </c:numCache>
            </c:numRef>
          </c:cat>
          <c:val>
            <c:numRef>
              <c:f>Graphs!$J$5:$J$7</c:f>
              <c:numCache>
                <c:formatCode>#,##0.00</c:formatCode>
                <c:ptCount val="3"/>
                <c:pt idx="0">
                  <c:v>0.107986992877052</c:v>
                </c:pt>
                <c:pt idx="1">
                  <c:v>0.133751438434983</c:v>
                </c:pt>
                <c:pt idx="2">
                  <c:v>0.0</c:v>
                </c:pt>
              </c:numCache>
            </c:numRef>
          </c:val>
          <c:smooth val="0"/>
        </c:ser>
        <c:dLbls>
          <c:showLegendKey val="0"/>
          <c:showVal val="0"/>
          <c:showCatName val="0"/>
          <c:showSerName val="0"/>
          <c:showPercent val="0"/>
          <c:showBubbleSize val="0"/>
        </c:dLbls>
        <c:marker val="1"/>
        <c:smooth val="0"/>
        <c:axId val="2144451256"/>
        <c:axId val="2144456744"/>
      </c:lineChart>
      <c:catAx>
        <c:axId val="2144465416"/>
        <c:scaling>
          <c:orientation val="minMax"/>
        </c:scaling>
        <c:delete val="0"/>
        <c:axPos val="b"/>
        <c:numFmt formatCode="General" sourceLinked="1"/>
        <c:majorTickMark val="out"/>
        <c:minorTickMark val="none"/>
        <c:tickLblPos val="nextTo"/>
        <c:txPr>
          <a:bodyPr/>
          <a:lstStyle/>
          <a:p>
            <a:pPr>
              <a:defRPr sz="900"/>
            </a:pPr>
            <a:endParaRPr lang="en-US"/>
          </a:p>
        </c:txPr>
        <c:crossAx val="2144462248"/>
        <c:crosses val="autoZero"/>
        <c:auto val="1"/>
        <c:lblAlgn val="ctr"/>
        <c:lblOffset val="100"/>
        <c:noMultiLvlLbl val="0"/>
      </c:catAx>
      <c:valAx>
        <c:axId val="2144462248"/>
        <c:scaling>
          <c:orientation val="minMax"/>
        </c:scaling>
        <c:delete val="0"/>
        <c:axPos val="l"/>
        <c:title>
          <c:tx>
            <c:rich>
              <a:bodyPr rot="-5400000" vert="horz"/>
              <a:lstStyle/>
              <a:p>
                <a:pPr>
                  <a:defRPr sz="900"/>
                </a:pPr>
                <a:r>
                  <a:rPr lang="en-GB" sz="900"/>
                  <a:t>Dividend and EPS (Rs)</a:t>
                </a:r>
              </a:p>
            </c:rich>
          </c:tx>
          <c:overlay val="0"/>
        </c:title>
        <c:numFmt formatCode="#,##0" sourceLinked="0"/>
        <c:majorTickMark val="out"/>
        <c:minorTickMark val="none"/>
        <c:tickLblPos val="nextTo"/>
        <c:txPr>
          <a:bodyPr/>
          <a:lstStyle/>
          <a:p>
            <a:pPr>
              <a:defRPr sz="900"/>
            </a:pPr>
            <a:endParaRPr lang="en-US"/>
          </a:p>
        </c:txPr>
        <c:crossAx val="2144465416"/>
        <c:crosses val="autoZero"/>
        <c:crossBetween val="between"/>
      </c:valAx>
      <c:valAx>
        <c:axId val="2144456744"/>
        <c:scaling>
          <c:orientation val="minMax"/>
          <c:min val="0.0"/>
        </c:scaling>
        <c:delete val="0"/>
        <c:axPos val="r"/>
        <c:title>
          <c:tx>
            <c:rich>
              <a:bodyPr rot="-5400000" vert="horz"/>
              <a:lstStyle/>
              <a:p>
                <a:pPr>
                  <a:defRPr sz="900"/>
                </a:pPr>
                <a:r>
                  <a:rPr lang="en-GB" sz="900"/>
                  <a:t>Dividend payout ratio</a:t>
                </a:r>
              </a:p>
            </c:rich>
          </c:tx>
          <c:layout>
            <c:manualLayout>
              <c:xMode val="edge"/>
              <c:yMode val="edge"/>
              <c:x val="0.942532719978059"/>
              <c:y val="0.130072615923009"/>
            </c:manualLayout>
          </c:layout>
          <c:overlay val="0"/>
        </c:title>
        <c:numFmt formatCode="0%" sourceLinked="0"/>
        <c:majorTickMark val="out"/>
        <c:minorTickMark val="none"/>
        <c:tickLblPos val="nextTo"/>
        <c:txPr>
          <a:bodyPr/>
          <a:lstStyle/>
          <a:p>
            <a:pPr>
              <a:defRPr sz="900"/>
            </a:pPr>
            <a:endParaRPr lang="en-US"/>
          </a:p>
        </c:txPr>
        <c:crossAx val="2144451256"/>
        <c:crosses val="max"/>
        <c:crossBetween val="between"/>
      </c:valAx>
      <c:catAx>
        <c:axId val="2144451256"/>
        <c:scaling>
          <c:orientation val="minMax"/>
        </c:scaling>
        <c:delete val="1"/>
        <c:axPos val="b"/>
        <c:numFmt formatCode="General" sourceLinked="1"/>
        <c:majorTickMark val="out"/>
        <c:minorTickMark val="none"/>
        <c:tickLblPos val="none"/>
        <c:crossAx val="2144456744"/>
        <c:crosses val="autoZero"/>
        <c:auto val="1"/>
        <c:lblAlgn val="ctr"/>
        <c:lblOffset val="100"/>
        <c:noMultiLvlLbl val="0"/>
      </c:catAx>
    </c:plotArea>
    <c:legend>
      <c:legendPos val="b"/>
      <c:layout>
        <c:manualLayout>
          <c:xMode val="edge"/>
          <c:yMode val="edge"/>
          <c:x val="0.00267184956310841"/>
          <c:y val="0.800547736962744"/>
          <c:w val="0.997328115855158"/>
          <c:h val="0.139433498414508"/>
        </c:manualLayout>
      </c:layout>
      <c:overlay val="0"/>
      <c:txPr>
        <a:bodyPr/>
        <a:lstStyle/>
        <a:p>
          <a:pPr>
            <a:defRPr sz="900"/>
          </a:pPr>
          <a:endParaRPr lang="en-US"/>
        </a:p>
      </c:txPr>
    </c:legend>
    <c:plotVisOnly val="1"/>
    <c:dispBlanksAs val="gap"/>
    <c:showDLblsOverMax val="0"/>
  </c:chart>
  <c:spPr>
    <a:ln>
      <a:solidFill>
        <a:schemeClr val="bg1">
          <a:lumMod val="85000"/>
        </a:schemeClr>
      </a:solidFill>
    </a:ln>
  </c:spPr>
  <c:printSettings>
    <c:headerFooter/>
    <c:pageMargins b="0.75" l="0.7" r="0.7" t="0.75" header="0.3" footer="0.3"/>
    <c:pageSetup/>
  </c:printSettings>
  <c:userShapes r:id="rId1"/>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167534999245927"/>
          <c:y val="0.161774856883047"/>
          <c:w val="0.771741425440761"/>
          <c:h val="0.561888744489463"/>
        </c:manualLayout>
      </c:layout>
      <c:bubbleChart>
        <c:varyColors val="0"/>
        <c:ser>
          <c:idx val="0"/>
          <c:order val="0"/>
          <c:tx>
            <c:v>Dividend Payout</c:v>
          </c:tx>
          <c:spPr>
            <a:solidFill>
              <a:schemeClr val="bg1">
                <a:lumMod val="85000"/>
              </a:schemeClr>
            </a:solidFill>
            <a:ln w="9525" cap="flat" cmpd="sng" algn="ctr">
              <a:noFill/>
              <a:prstDash val="solid"/>
            </a:ln>
            <a:effectLst>
              <a:outerShdw blurRad="40000" dist="23000" dir="5400000" rotWithShape="0">
                <a:srgbClr val="000000">
                  <a:alpha val="35000"/>
                </a:srgbClr>
              </a:outerShdw>
            </a:effectLst>
          </c:spPr>
          <c:invertIfNegative val="0"/>
          <c:dPt>
            <c:idx val="0"/>
            <c:invertIfNegative val="0"/>
            <c:bubble3D val="0"/>
            <c:spPr>
              <a:solidFill>
                <a:srgbClr val="FFC000"/>
              </a:solidFill>
              <a:ln w="9525" cap="flat" cmpd="sng" algn="ctr">
                <a:noFill/>
                <a:prstDash val="solid"/>
              </a:ln>
              <a:effectLst>
                <a:outerShdw blurRad="40000" dist="23000" dir="5400000" rotWithShape="0">
                  <a:srgbClr val="000000">
                    <a:alpha val="35000"/>
                  </a:srgbClr>
                </a:outerShdw>
              </a:effectLst>
            </c:spPr>
          </c:dPt>
          <c:dPt>
            <c:idx val="2"/>
            <c:invertIfNegative val="0"/>
            <c:bubble3D val="0"/>
          </c:dPt>
          <c:dLbls>
            <c:dLbl>
              <c:idx val="0"/>
              <c:layout>
                <c:manualLayout>
                  <c:x val="-0.1389333780086"/>
                  <c:y val="0.0"/>
                </c:manualLayout>
              </c:layout>
              <c:numFmt formatCode="0%" sourceLinked="0"/>
              <c:spPr/>
              <c:txPr>
                <a:bodyPr/>
                <a:lstStyle/>
                <a:p>
                  <a:pPr>
                    <a:defRPr sz="900">
                      <a:solidFill>
                        <a:schemeClr val="tx1"/>
                      </a:solidFill>
                    </a:defRPr>
                  </a:pPr>
                  <a:endParaRPr lang="en-US"/>
                </a:p>
              </c:txPr>
              <c:dLblPos val="r"/>
              <c:showLegendKey val="0"/>
              <c:showVal val="0"/>
              <c:showCatName val="0"/>
              <c:showSerName val="0"/>
              <c:showPercent val="0"/>
              <c:showBubbleSize val="1"/>
              <c:extLst>
                <c:ext xmlns:c15="http://schemas.microsoft.com/office/drawing/2012/chart" uri="{CE6537A1-D6FC-4f65-9D91-7224C49458BB}"/>
              </c:extLst>
            </c:dLbl>
            <c:dLbl>
              <c:idx val="2"/>
              <c:layout>
                <c:manualLayout>
                  <c:x val="-0.196369762290352"/>
                  <c:y val="0.0"/>
                </c:manualLayout>
              </c:layout>
              <c:dLblPos val="r"/>
              <c:showLegendKey val="0"/>
              <c:showVal val="0"/>
              <c:showCatName val="0"/>
              <c:showSerName val="0"/>
              <c:showPercent val="0"/>
              <c:showBubbleSize val="1"/>
              <c:extLst>
                <c:ext xmlns:c15="http://schemas.microsoft.com/office/drawing/2012/chart" uri="{CE6537A1-D6FC-4f65-9D91-7224C49458BB}">
                  <c15:layout/>
                </c:ext>
              </c:extLst>
            </c:dLbl>
            <c:numFmt formatCode="0%" sourceLinked="0"/>
            <c:spPr>
              <a:noFill/>
              <a:ln>
                <a:noFill/>
              </a:ln>
              <a:effectLst/>
            </c:spPr>
            <c:txPr>
              <a:bodyPr/>
              <a:lstStyle/>
              <a:p>
                <a:pPr>
                  <a:defRPr sz="900"/>
                </a:pPr>
                <a:endParaRPr lang="en-US"/>
              </a:p>
            </c:txPr>
            <c:dLblPos val="ctr"/>
            <c:showLegendKey val="0"/>
            <c:showVal val="0"/>
            <c:showCatName val="0"/>
            <c:showSerName val="0"/>
            <c:showPercent val="0"/>
            <c:showBubbleSize val="1"/>
            <c:showLeaderLines val="0"/>
            <c:extLst>
              <c:ext xmlns:c15="http://schemas.microsoft.com/office/drawing/2012/chart" uri="{CE6537A1-D6FC-4f65-9D91-7224C49458BB}">
                <c15:layout/>
                <c15:showLeaderLines val="0"/>
              </c:ext>
            </c:extLst>
          </c:dLbls>
          <c:xVal>
            <c:numRef>
              <c:f>Graphs!$I$10:$I$12</c:f>
              <c:numCache>
                <c:formatCode>General</c:formatCode>
                <c:ptCount val="3"/>
                <c:pt idx="0">
                  <c:v>73.44</c:v>
                </c:pt>
                <c:pt idx="1">
                  <c:v>62.23</c:v>
                </c:pt>
                <c:pt idx="2">
                  <c:v>9.67</c:v>
                </c:pt>
              </c:numCache>
            </c:numRef>
          </c:xVal>
          <c:yVal>
            <c:numRef>
              <c:f>Graphs!$H$10:$H$12</c:f>
              <c:numCache>
                <c:formatCode>General</c:formatCode>
                <c:ptCount val="3"/>
                <c:pt idx="0">
                  <c:v>0.0</c:v>
                </c:pt>
                <c:pt idx="1">
                  <c:v>19.0</c:v>
                </c:pt>
                <c:pt idx="2">
                  <c:v>3.2</c:v>
                </c:pt>
              </c:numCache>
            </c:numRef>
          </c:yVal>
          <c:bubbleSize>
            <c:numRef>
              <c:f>Graphs!$J$10:$J$12</c:f>
              <c:numCache>
                <c:formatCode>#,##0.00</c:formatCode>
                <c:ptCount val="3"/>
                <c:pt idx="0">
                  <c:v>0.0</c:v>
                </c:pt>
                <c:pt idx="1">
                  <c:v>0.354872248111843</c:v>
                </c:pt>
                <c:pt idx="2">
                  <c:v>0.384628748707342</c:v>
                </c:pt>
              </c:numCache>
            </c:numRef>
          </c:bubbleSize>
          <c:bubble3D val="0"/>
        </c:ser>
        <c:dLbls>
          <c:showLegendKey val="0"/>
          <c:showVal val="0"/>
          <c:showCatName val="0"/>
          <c:showSerName val="0"/>
          <c:showPercent val="0"/>
          <c:showBubbleSize val="0"/>
        </c:dLbls>
        <c:bubbleScale val="100"/>
        <c:showNegBubbles val="0"/>
        <c:axId val="2144404552"/>
        <c:axId val="2144398472"/>
      </c:bubbleChart>
      <c:valAx>
        <c:axId val="2144404552"/>
        <c:scaling>
          <c:orientation val="minMax"/>
          <c:min val="0.0"/>
        </c:scaling>
        <c:delete val="0"/>
        <c:axPos val="b"/>
        <c:title>
          <c:tx>
            <c:rich>
              <a:bodyPr/>
              <a:lstStyle/>
              <a:p>
                <a:pPr>
                  <a:defRPr sz="900"/>
                </a:pPr>
                <a:r>
                  <a:rPr lang="en-GB" sz="900"/>
                  <a:t>Earnings</a:t>
                </a:r>
                <a:r>
                  <a:rPr lang="en-GB" sz="900" baseline="0"/>
                  <a:t> per share (</a:t>
                </a:r>
                <a:r>
                  <a:rPr lang="en-GB" sz="900" baseline="0">
                    <a:latin typeface="Rupee Foradian"/>
                  </a:rPr>
                  <a:t>`</a:t>
                </a:r>
                <a:r>
                  <a:rPr lang="en-GB" sz="900" baseline="0"/>
                  <a:t>)</a:t>
                </a:r>
                <a:endParaRPr lang="en-GB" sz="900"/>
              </a:p>
            </c:rich>
          </c:tx>
          <c:overlay val="0"/>
        </c:title>
        <c:numFmt formatCode="General" sourceLinked="1"/>
        <c:majorTickMark val="out"/>
        <c:minorTickMark val="none"/>
        <c:tickLblPos val="nextTo"/>
        <c:txPr>
          <a:bodyPr/>
          <a:lstStyle/>
          <a:p>
            <a:pPr>
              <a:defRPr sz="900"/>
            </a:pPr>
            <a:endParaRPr lang="en-US"/>
          </a:p>
        </c:txPr>
        <c:crossAx val="2144398472"/>
        <c:crosses val="autoZero"/>
        <c:crossBetween val="midCat"/>
      </c:valAx>
      <c:valAx>
        <c:axId val="2144398472"/>
        <c:scaling>
          <c:orientation val="minMax"/>
          <c:min val="0.0"/>
        </c:scaling>
        <c:delete val="0"/>
        <c:axPos val="l"/>
        <c:title>
          <c:tx>
            <c:rich>
              <a:bodyPr rot="-5400000" vert="horz"/>
              <a:lstStyle/>
              <a:p>
                <a:pPr>
                  <a:defRPr sz="900"/>
                </a:pPr>
                <a:r>
                  <a:rPr lang="en-GB" sz="900"/>
                  <a:t>Dividend per</a:t>
                </a:r>
                <a:r>
                  <a:rPr lang="en-GB" sz="900" baseline="0"/>
                  <a:t> share (</a:t>
                </a:r>
                <a:r>
                  <a:rPr lang="en-GB" sz="900" baseline="0">
                    <a:latin typeface="Rupee Foradian"/>
                  </a:rPr>
                  <a:t>`</a:t>
                </a:r>
                <a:r>
                  <a:rPr lang="en-GB" sz="900" baseline="0"/>
                  <a:t>)</a:t>
                </a:r>
                <a:endParaRPr lang="en-GB" sz="900"/>
              </a:p>
            </c:rich>
          </c:tx>
          <c:overlay val="0"/>
        </c:title>
        <c:numFmt formatCode="General" sourceLinked="1"/>
        <c:majorTickMark val="out"/>
        <c:minorTickMark val="none"/>
        <c:tickLblPos val="nextTo"/>
        <c:txPr>
          <a:bodyPr/>
          <a:lstStyle/>
          <a:p>
            <a:pPr>
              <a:defRPr sz="900"/>
            </a:pPr>
            <a:endParaRPr lang="en-US"/>
          </a:p>
        </c:txPr>
        <c:crossAx val="2144404552"/>
        <c:crosses val="autoZero"/>
        <c:crossBetween val="midCat"/>
      </c:valAx>
    </c:plotArea>
    <c:plotVisOnly val="1"/>
    <c:dispBlanksAs val="gap"/>
    <c:showDLblsOverMax val="0"/>
  </c:chart>
  <c:spPr>
    <a:solidFill>
      <a:schemeClr val="bg1"/>
    </a:solidFill>
    <a:ln>
      <a:solidFill>
        <a:schemeClr val="bg1">
          <a:lumMod val="85000"/>
        </a:schemeClr>
      </a:solidFill>
    </a:ln>
  </c:spPr>
  <c:printSettings>
    <c:headerFooter/>
    <c:pageMargins b="0.75" l="0.7" r="0.7" t="0.75" header="0.3" footer="0.3"/>
    <c:pageSetup/>
  </c:printSettings>
  <c:userShapes r:id="rId1"/>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8996803415138"/>
          <c:y val="0.134181304260044"/>
          <c:w val="0.57105017514834"/>
          <c:h val="0.664071923136306"/>
        </c:manualLayout>
      </c:layout>
      <c:doughnutChart>
        <c:varyColors val="1"/>
        <c:ser>
          <c:idx val="1"/>
          <c:order val="0"/>
          <c:tx>
            <c:strRef>
              <c:f>Calculations_Sheet!$B$114</c:f>
              <c:strCache>
                <c:ptCount val="1"/>
                <c:pt idx="0">
                  <c:v>FY 13/14</c:v>
                </c:pt>
              </c:strCache>
            </c:strRef>
          </c:tx>
          <c:dPt>
            <c:idx val="0"/>
            <c:bubble3D val="0"/>
            <c:spPr>
              <a:solidFill>
                <a:srgbClr val="464646"/>
              </a:solidFill>
            </c:spPr>
          </c:dPt>
          <c:dPt>
            <c:idx val="1"/>
            <c:bubble3D val="0"/>
            <c:spPr>
              <a:solidFill>
                <a:srgbClr val="D9D9D9"/>
              </a:solidFill>
            </c:spPr>
          </c:dPt>
          <c:dPt>
            <c:idx val="2"/>
            <c:bubble3D val="0"/>
            <c:spPr>
              <a:solidFill>
                <a:srgbClr val="FFD200"/>
              </a:solidFill>
            </c:spPr>
          </c:dPt>
          <c:dLbls>
            <c:dLbl>
              <c:idx val="0"/>
              <c:numFmt formatCode="0%" sourceLinked="0"/>
              <c:spPr/>
              <c:txPr>
                <a:bodyPr/>
                <a:lstStyle/>
                <a:p>
                  <a:pPr>
                    <a:defRPr lang="en-IN" sz="900">
                      <a:solidFill>
                        <a:schemeClr val="bg1"/>
                      </a:solidFill>
                    </a:defRPr>
                  </a:pPr>
                  <a:endParaRPr lang="en-US"/>
                </a:p>
              </c:txPr>
              <c:showLegendKey val="0"/>
              <c:showVal val="1"/>
              <c:showCatName val="0"/>
              <c:showSerName val="0"/>
              <c:showPercent val="0"/>
              <c:showBubbleSize val="0"/>
            </c:dLbl>
            <c:numFmt formatCode="0%" sourceLinked="0"/>
            <c:spPr>
              <a:noFill/>
              <a:ln>
                <a:noFill/>
              </a:ln>
              <a:effectLst/>
            </c:spPr>
            <c:txPr>
              <a:bodyPr/>
              <a:lstStyle/>
              <a:p>
                <a:pPr>
                  <a:defRPr lang="en-IN" sz="900"/>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ext>
            </c:extLst>
          </c:dLbls>
          <c:cat>
            <c:strRef>
              <c:f>Calculations_Sheet!$A$115:$A$117</c:f>
              <c:strCache>
                <c:ptCount val="3"/>
                <c:pt idx="0">
                  <c:v>Audit</c:v>
                </c:pt>
                <c:pt idx="1">
                  <c:v>Audit-Related</c:v>
                </c:pt>
                <c:pt idx="2">
                  <c:v>Non Audit</c:v>
                </c:pt>
              </c:strCache>
            </c:strRef>
          </c:cat>
          <c:val>
            <c:numRef>
              <c:f>Calculations_Sheet!$B$115:$B$117</c:f>
              <c:numCache>
                <c:formatCode>0.0%</c:formatCode>
                <c:ptCount val="3"/>
                <c:pt idx="0">
                  <c:v>0.55045871559633</c:v>
                </c:pt>
                <c:pt idx="1">
                  <c:v>0.281345565749235</c:v>
                </c:pt>
                <c:pt idx="2">
                  <c:v>0.168195718654434</c:v>
                </c:pt>
              </c:numCache>
            </c:numRef>
          </c:val>
        </c:ser>
        <c:ser>
          <c:idx val="0"/>
          <c:order val="1"/>
          <c:tx>
            <c:strRef>
              <c:f>Calculations_Sheet!$C$114</c:f>
              <c:strCache>
                <c:ptCount val="1"/>
                <c:pt idx="0">
                  <c:v>FY 14/15</c:v>
                </c:pt>
              </c:strCache>
            </c:strRef>
          </c:tx>
          <c:spPr>
            <a:ln w="12700">
              <a:solidFill>
                <a:schemeClr val="bg1"/>
              </a:solidFill>
            </a:ln>
          </c:spPr>
          <c:dPt>
            <c:idx val="0"/>
            <c:bubble3D val="0"/>
            <c:spPr>
              <a:solidFill>
                <a:srgbClr val="464646"/>
              </a:solidFill>
              <a:ln w="12700">
                <a:solidFill>
                  <a:schemeClr val="bg1"/>
                </a:solidFill>
              </a:ln>
            </c:spPr>
          </c:dPt>
          <c:dPt>
            <c:idx val="1"/>
            <c:bubble3D val="0"/>
            <c:spPr>
              <a:solidFill>
                <a:srgbClr val="D9D9D9"/>
              </a:solidFill>
              <a:ln w="12700">
                <a:solidFill>
                  <a:schemeClr val="bg1"/>
                </a:solidFill>
              </a:ln>
            </c:spPr>
          </c:dPt>
          <c:dPt>
            <c:idx val="2"/>
            <c:bubble3D val="0"/>
            <c:spPr>
              <a:solidFill>
                <a:srgbClr val="FFD200"/>
              </a:solidFill>
              <a:ln w="12700">
                <a:solidFill>
                  <a:schemeClr val="bg1"/>
                </a:solidFill>
              </a:ln>
            </c:spPr>
          </c:dPt>
          <c:dLbls>
            <c:dLbl>
              <c:idx val="0"/>
              <c:numFmt formatCode="0%" sourceLinked="0"/>
              <c:spPr/>
              <c:txPr>
                <a:bodyPr/>
                <a:lstStyle/>
                <a:p>
                  <a:pPr>
                    <a:defRPr lang="en-IN" sz="900">
                      <a:solidFill>
                        <a:schemeClr val="bg1"/>
                      </a:solidFill>
                    </a:defRPr>
                  </a:pPr>
                  <a:endParaRPr lang="en-US"/>
                </a:p>
              </c:txPr>
              <c:showLegendKey val="0"/>
              <c:showVal val="1"/>
              <c:showCatName val="0"/>
              <c:showSerName val="0"/>
              <c:showPercent val="0"/>
              <c:showBubbleSize val="0"/>
            </c:dLbl>
            <c:dLbl>
              <c:idx val="1"/>
              <c:numFmt formatCode="0%" sourceLinked="0"/>
              <c:spPr/>
              <c:txPr>
                <a:bodyPr/>
                <a:lstStyle/>
                <a:p>
                  <a:pPr>
                    <a:defRPr lang="en-IN" sz="900">
                      <a:solidFill>
                        <a:sysClr val="windowText" lastClr="000000"/>
                      </a:solidFill>
                    </a:defRPr>
                  </a:pPr>
                  <a:endParaRPr lang="en-US"/>
                </a:p>
              </c:txPr>
              <c:showLegendKey val="0"/>
              <c:showVal val="1"/>
              <c:showCatName val="0"/>
              <c:showSerName val="0"/>
              <c:showPercent val="0"/>
              <c:showBubbleSize val="0"/>
            </c:dLbl>
            <c:dLbl>
              <c:idx val="2"/>
              <c:layout>
                <c:manualLayout>
                  <c:x val="0.0103758169934641"/>
                  <c:y val="0.0120607787274454"/>
                </c:manualLayout>
              </c:layout>
              <c:showLegendKey val="0"/>
              <c:showVal val="1"/>
              <c:showCatName val="0"/>
              <c:showSerName val="0"/>
              <c:showPercent val="0"/>
              <c:showBubbleSize val="0"/>
              <c:extLst>
                <c:ext xmlns:c15="http://schemas.microsoft.com/office/drawing/2012/chart" uri="{CE6537A1-D6FC-4f65-9D91-7224C49458BB}">
                  <c15:layout/>
                </c:ext>
              </c:extLst>
            </c:dLbl>
            <c:dLbl>
              <c:idx val="3"/>
              <c:layout>
                <c:manualLayout>
                  <c:x val="0.0"/>
                  <c:y val="0.0196560196560197"/>
                </c:manualLayout>
              </c:layout>
              <c:numFmt formatCode="0%" sourceLinked="0"/>
              <c:spPr/>
              <c:txPr>
                <a:bodyPr/>
                <a:lstStyle/>
                <a:p>
                  <a:pPr>
                    <a:defRPr lang="en-IN" sz="900">
                      <a:solidFill>
                        <a:schemeClr val="bg1"/>
                      </a:solidFill>
                    </a:defRPr>
                  </a:pPr>
                  <a:endParaRPr lang="en-US"/>
                </a:p>
              </c:txPr>
              <c:showLegendKey val="0"/>
              <c:showVal val="1"/>
              <c:showCatName val="0"/>
              <c:showSerName val="0"/>
              <c:showPercent val="0"/>
              <c:showBubbleSize val="0"/>
              <c:extLst>
                <c:ext xmlns:c15="http://schemas.microsoft.com/office/drawing/2012/chart" uri="{CE6537A1-D6FC-4f65-9D91-7224C49458BB}"/>
              </c:extLst>
            </c:dLbl>
            <c:numFmt formatCode="0%" sourceLinked="0"/>
            <c:spPr>
              <a:noFill/>
              <a:ln>
                <a:noFill/>
              </a:ln>
              <a:effectLst/>
            </c:spPr>
            <c:txPr>
              <a:bodyPr/>
              <a:lstStyle/>
              <a:p>
                <a:pPr>
                  <a:defRPr lang="en-IN" sz="900"/>
                </a:pPr>
                <a:endParaRPr lang="en-US"/>
              </a:p>
            </c:txPr>
            <c:showLegendKey val="0"/>
            <c:showVal val="1"/>
            <c:showCatName val="0"/>
            <c:showSerName val="0"/>
            <c:showPercent val="0"/>
            <c:showBubbleSize val="0"/>
            <c:showLeaderLines val="0"/>
            <c:extLst>
              <c:ext xmlns:c15="http://schemas.microsoft.com/office/drawing/2012/chart" uri="{CE6537A1-D6FC-4f65-9D91-7224C49458BB}"/>
            </c:extLst>
          </c:dLbls>
          <c:cat>
            <c:strRef>
              <c:f>Calculations_Sheet!$A$115:$A$117</c:f>
              <c:strCache>
                <c:ptCount val="3"/>
                <c:pt idx="0">
                  <c:v>Audit</c:v>
                </c:pt>
                <c:pt idx="1">
                  <c:v>Audit-Related</c:v>
                </c:pt>
                <c:pt idx="2">
                  <c:v>Non Audit</c:v>
                </c:pt>
              </c:strCache>
            </c:strRef>
          </c:cat>
          <c:val>
            <c:numRef>
              <c:f>Calculations_Sheet!$C$115:$C$117</c:f>
              <c:numCache>
                <c:formatCode>0.0%</c:formatCode>
                <c:ptCount val="3"/>
                <c:pt idx="0">
                  <c:v>0.583896742470805</c:v>
                </c:pt>
                <c:pt idx="1">
                  <c:v>0.3700061462815</c:v>
                </c:pt>
                <c:pt idx="2">
                  <c:v>0.0460971112476951</c:v>
                </c:pt>
              </c:numCache>
            </c:numRef>
          </c:val>
        </c:ser>
        <c:dLbls>
          <c:showLegendKey val="0"/>
          <c:showVal val="1"/>
          <c:showCatName val="0"/>
          <c:showSerName val="0"/>
          <c:showPercent val="0"/>
          <c:showBubbleSize val="0"/>
          <c:showLeaderLines val="0"/>
        </c:dLbls>
        <c:firstSliceAng val="130"/>
        <c:holeSize val="50"/>
      </c:doughnutChart>
    </c:plotArea>
    <c:legend>
      <c:legendPos val="r"/>
      <c:layout>
        <c:manualLayout>
          <c:xMode val="edge"/>
          <c:yMode val="edge"/>
          <c:x val="0.0"/>
          <c:y val="0.809506300400231"/>
          <c:w val="1.0"/>
          <c:h val="0.190493648293963"/>
        </c:manualLayout>
      </c:layout>
      <c:overlay val="0"/>
      <c:txPr>
        <a:bodyPr/>
        <a:lstStyle/>
        <a:p>
          <a:pPr>
            <a:defRPr lang="en-IN" spc="0" baseline="0"/>
          </a:pPr>
          <a:endParaRPr lang="en-US"/>
        </a:p>
      </c:txPr>
    </c:legend>
    <c:plotVisOnly val="1"/>
    <c:dispBlanksAs val="zero"/>
    <c:showDLblsOverMax val="0"/>
  </c:chart>
  <c:spPr>
    <a:ln>
      <a:solidFill>
        <a:schemeClr val="bg1">
          <a:lumMod val="85000"/>
        </a:schemeClr>
      </a:solidFill>
    </a:ln>
  </c:spPr>
  <c:printSettings>
    <c:headerFooter/>
    <c:pageMargins b="0.75" l="0.7" r="0.7" t="0.75" header="0.3" footer="0.3"/>
    <c:pageSetup/>
  </c:printSettings>
  <c:userShapes r:id="rId1"/>
</c:chartSpace>
</file>

<file path=xl/charts/chart9.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4456036745407"/>
          <c:y val="0.1879627773801"/>
          <c:w val="0.824988407699038"/>
          <c:h val="0.543178716296827"/>
        </c:manualLayout>
      </c:layout>
      <c:barChart>
        <c:barDir val="col"/>
        <c:grouping val="clustered"/>
        <c:varyColors val="0"/>
        <c:ser>
          <c:idx val="0"/>
          <c:order val="0"/>
          <c:tx>
            <c:strRef>
              <c:f>Graphs!$H$48</c:f>
              <c:strCache>
                <c:ptCount val="1"/>
                <c:pt idx="0">
                  <c:v>Audit Fee (In Cr)</c:v>
                </c:pt>
              </c:strCache>
            </c:strRef>
          </c:tx>
          <c:spPr>
            <a:solidFill>
              <a:srgbClr val="464646"/>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Graphs!$I$47:$K$47</c:f>
              <c:strCache>
                <c:ptCount val="3"/>
                <c:pt idx="0">
                  <c:v>FY 12/13</c:v>
                </c:pt>
                <c:pt idx="1">
                  <c:v>FY 13/14</c:v>
                </c:pt>
                <c:pt idx="2">
                  <c:v>FY 14/15</c:v>
                </c:pt>
              </c:strCache>
            </c:strRef>
          </c:cat>
          <c:val>
            <c:numRef>
              <c:f>Graphs!$I$48:$K$48</c:f>
              <c:numCache>
                <c:formatCode>General</c:formatCode>
                <c:ptCount val="3"/>
                <c:pt idx="0">
                  <c:v>0.09</c:v>
                </c:pt>
                <c:pt idx="1">
                  <c:v>0.09</c:v>
                </c:pt>
                <c:pt idx="2">
                  <c:v>0.19</c:v>
                </c:pt>
              </c:numCache>
            </c:numRef>
          </c:val>
        </c:ser>
        <c:ser>
          <c:idx val="1"/>
          <c:order val="1"/>
          <c:tx>
            <c:strRef>
              <c:f>Graphs!$H$49</c:f>
              <c:strCache>
                <c:ptCount val="1"/>
                <c:pt idx="0">
                  <c:v>Audit Related Fee (In Cr)</c:v>
                </c:pt>
              </c:strCache>
            </c:strRef>
          </c:tx>
          <c:spPr>
            <a:solidFill>
              <a:srgbClr val="FFC000"/>
            </a:solidFill>
            <a:ln>
              <a:noFill/>
            </a:ln>
            <a:effectLst/>
          </c:spPr>
          <c:invertIfNegative val="0"/>
          <c:dLbls>
            <c:numFmt formatCode="#,##0.00"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Graphs!$I$47:$K$47</c:f>
              <c:strCache>
                <c:ptCount val="3"/>
                <c:pt idx="0">
                  <c:v>FY 12/13</c:v>
                </c:pt>
                <c:pt idx="1">
                  <c:v>FY 13/14</c:v>
                </c:pt>
                <c:pt idx="2">
                  <c:v>FY 14/15</c:v>
                </c:pt>
              </c:strCache>
            </c:strRef>
          </c:cat>
          <c:val>
            <c:numRef>
              <c:f>Graphs!$I$49:$K$49</c:f>
              <c:numCache>
                <c:formatCode>General</c:formatCode>
                <c:ptCount val="3"/>
                <c:pt idx="0">
                  <c:v>0.0459</c:v>
                </c:pt>
                <c:pt idx="1">
                  <c:v>0.046</c:v>
                </c:pt>
                <c:pt idx="2">
                  <c:v>0.1204</c:v>
                </c:pt>
              </c:numCache>
            </c:numRef>
          </c:val>
        </c:ser>
        <c:ser>
          <c:idx val="2"/>
          <c:order val="2"/>
          <c:tx>
            <c:strRef>
              <c:f>Graphs!$H$50</c:f>
              <c:strCache>
                <c:ptCount val="1"/>
                <c:pt idx="0">
                  <c:v>Non Audit Fee </c:v>
                </c:pt>
              </c:strCache>
            </c:strRef>
          </c:tx>
          <c:spPr>
            <a:solidFill>
              <a:schemeClr val="bg1">
                <a:lumMod val="65000"/>
              </a:schemeClr>
            </a:solidFill>
            <a:ln>
              <a:noFill/>
            </a:ln>
            <a:effectLst/>
          </c:spPr>
          <c:invertIfNegative val="0"/>
          <c:dLbls>
            <c:numFmt formatCode="#,##0.00" sourceLinked="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Graphs!$I$47:$K$47</c:f>
              <c:strCache>
                <c:ptCount val="3"/>
                <c:pt idx="0">
                  <c:v>FY 12/13</c:v>
                </c:pt>
                <c:pt idx="1">
                  <c:v>FY 13/14</c:v>
                </c:pt>
                <c:pt idx="2">
                  <c:v>FY 14/15</c:v>
                </c:pt>
              </c:strCache>
            </c:strRef>
          </c:cat>
          <c:val>
            <c:numRef>
              <c:f>Graphs!$I$50:$K$50</c:f>
              <c:numCache>
                <c:formatCode>General</c:formatCode>
                <c:ptCount val="3"/>
                <c:pt idx="0">
                  <c:v>0.035</c:v>
                </c:pt>
                <c:pt idx="1">
                  <c:v>0.0275</c:v>
                </c:pt>
                <c:pt idx="2">
                  <c:v>0.015</c:v>
                </c:pt>
              </c:numCache>
            </c:numRef>
          </c:val>
        </c:ser>
        <c:dLbls>
          <c:dLblPos val="outEnd"/>
          <c:showLegendKey val="0"/>
          <c:showVal val="1"/>
          <c:showCatName val="0"/>
          <c:showSerName val="0"/>
          <c:showPercent val="0"/>
          <c:showBubbleSize val="0"/>
        </c:dLbls>
        <c:gapWidth val="150"/>
        <c:axId val="2094393784"/>
        <c:axId val="2094984472"/>
      </c:barChart>
      <c:catAx>
        <c:axId val="2094393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4984472"/>
        <c:crosses val="autoZero"/>
        <c:auto val="1"/>
        <c:lblAlgn val="ctr"/>
        <c:lblOffset val="100"/>
        <c:noMultiLvlLbl val="0"/>
      </c:catAx>
      <c:valAx>
        <c:axId val="2094984472"/>
        <c:scaling>
          <c:orientation val="minMax"/>
        </c:scaling>
        <c:delete val="0"/>
        <c:axPos val="l"/>
        <c:title>
          <c:tx>
            <c:rich>
              <a:bodyPr rot="-5400000" spcFirstLastPara="1" vertOverflow="ellipsis" vert="horz" wrap="square" anchor="ctr" anchorCtr="1"/>
              <a:lstStyle/>
              <a:p>
                <a:pPr>
                  <a:defRPr sz="900" b="1" i="0" u="none" strike="noStrike" kern="1200" baseline="0">
                    <a:solidFill>
                      <a:sysClr val="windowText" lastClr="000000"/>
                    </a:solidFill>
                    <a:latin typeface="+mn-lt"/>
                    <a:ea typeface="+mn-ea"/>
                    <a:cs typeface="+mn-cs"/>
                  </a:defRPr>
                </a:pPr>
                <a:r>
                  <a:rPr lang="en-IN" b="1">
                    <a:solidFill>
                      <a:sysClr val="windowText" lastClr="000000"/>
                    </a:solidFill>
                  </a:rPr>
                  <a:t>Audit fee (in </a:t>
                </a:r>
                <a:r>
                  <a:rPr lang="en-US" sz="900" b="1" i="0" u="none" strike="noStrike" baseline="0">
                    <a:effectLst/>
                  </a:rPr>
                  <a:t>₹</a:t>
                </a:r>
                <a:r>
                  <a:rPr lang="en-IN" b="1">
                    <a:solidFill>
                      <a:sysClr val="windowText" lastClr="000000"/>
                    </a:solidFill>
                  </a:rPr>
                  <a:t> Cr)</a:t>
                </a:r>
              </a:p>
            </c:rich>
          </c:tx>
          <c:layout>
            <c:manualLayout>
              <c:xMode val="edge"/>
              <c:yMode val="edge"/>
              <c:x val="0.0025999807408834"/>
              <c:y val="0.191299451204963"/>
            </c:manualLayout>
          </c:layout>
          <c:overlay val="0"/>
          <c:spPr>
            <a:noFill/>
            <a:ln>
              <a:noFill/>
            </a:ln>
            <a:effectLst/>
          </c:spPr>
        </c:title>
        <c:numFmt formatCode="#,##0.00" sourceLinked="0"/>
        <c:majorTickMark val="out"/>
        <c:minorTickMark val="none"/>
        <c:tickLblPos val="nextTo"/>
        <c:spPr>
          <a:noFill/>
          <a:ln>
            <a:solidFill>
              <a:srgbClr val="D9D9D9"/>
            </a:solid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2094393784"/>
        <c:crosses val="autoZero"/>
        <c:crossBetween val="between"/>
        <c:majorUnit val="0.05"/>
      </c:valAx>
      <c:spPr>
        <a:noFill/>
        <a:ln>
          <a:noFill/>
        </a:ln>
        <a:effectLst/>
      </c:spPr>
    </c:plotArea>
    <c:legend>
      <c:legendPos val="b"/>
      <c:layout>
        <c:manualLayout>
          <c:xMode val="edge"/>
          <c:yMode val="edge"/>
          <c:x val="0.0"/>
          <c:y val="0.826419947506562"/>
          <c:w val="1.0"/>
          <c:h val="0.0781255468066492"/>
        </c:manualLayout>
      </c:layout>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900"/>
      </a:pPr>
      <a:endParaRPr lang="en-US"/>
    </a:p>
  </c:txPr>
  <c:printSettings>
    <c:headerFooter/>
    <c:pageMargins b="0.75" l="0.7" r="0.7" t="0.75" header="0.3" footer="0.3"/>
    <c:pageSetup/>
  </c:printSettings>
  <c:userShapes r:id="rId1"/>
</c:chartSpace>
</file>

<file path=xl/charts/chart10.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18"/>
    </mc:Choice>
    <mc:Fallback>
      <c:style val="18"/>
    </mc:Fallback>
  </mc:AlternateContent>
  <c:chart>
    <c:autoTitleDeleted val="1"/>
    <c:plotArea>
      <c:layout>
        <c:manualLayout>
          <c:layoutTarget val="inner"/>
          <c:xMode val="edge"/>
          <c:yMode val="edge"/>
          <c:x val="0.0151684518399602"/>
          <c:y val="0.204474861410822"/>
          <c:w val="0.984831518701671"/>
          <c:h val="0.540693083418558"/>
        </c:manualLayout>
      </c:layout>
      <c:barChart>
        <c:barDir val="col"/>
        <c:grouping val="clustered"/>
        <c:varyColors val="0"/>
        <c:ser>
          <c:idx val="0"/>
          <c:order val="0"/>
          <c:tx>
            <c:v>Promoter</c:v>
          </c:tx>
          <c:spPr>
            <a:solidFill>
              <a:srgbClr val="FFC000"/>
            </a:solidFill>
            <a:ln w="9525" cap="flat" cmpd="sng" algn="ctr">
              <a:noFill/>
              <a:prstDash val="solid"/>
            </a:ln>
            <a:effectLst/>
          </c:spPr>
          <c:invertIfNegative val="0"/>
          <c:dLbls>
            <c:dLbl>
              <c:idx val="0"/>
              <c:layout>
                <c:manualLayout>
                  <c:x val="-0.0419538507641594"/>
                  <c:y val="-0.021100990057208"/>
                </c:manualLayout>
              </c:layout>
              <c:spPr/>
              <c:txPr>
                <a:bodyPr/>
                <a:lstStyle/>
                <a:p>
                  <a:pPr>
                    <a:defRPr sz="900"/>
                  </a:pPr>
                  <a:endParaRPr lang="en-US"/>
                </a:p>
              </c:txPr>
              <c:showLegendKey val="0"/>
              <c:showVal val="1"/>
              <c:showCatName val="0"/>
              <c:showSerName val="0"/>
              <c:showPercent val="0"/>
              <c:showBubbleSize val="0"/>
              <c:extLst>
                <c:ext xmlns:c15="http://schemas.microsoft.com/office/drawing/2012/chart" uri="{CE6537A1-D6FC-4f65-9D91-7224C49458BB}"/>
              </c:extLst>
            </c:dLbl>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2"/>
              <c:pt idx="0">
                <c:v>Executive</c:v>
              </c:pt>
              <c:pt idx="1">
                <c:v>Non-executive</c:v>
              </c:pt>
            </c:strLit>
          </c:cat>
          <c:val>
            <c:numRef>
              <c:f>(Output!$C$54,Output!$C$56)</c:f>
              <c:numCache>
                <c:formatCode>#,##0.00</c:formatCode>
                <c:ptCount val="2"/>
                <c:pt idx="0">
                  <c:v>0.0</c:v>
                </c:pt>
                <c:pt idx="1">
                  <c:v>0.009</c:v>
                </c:pt>
              </c:numCache>
            </c:numRef>
          </c:val>
        </c:ser>
        <c:ser>
          <c:idx val="1"/>
          <c:order val="1"/>
          <c:tx>
            <c:v>Non-promoter</c:v>
          </c:tx>
          <c:spPr>
            <a:solidFill>
              <a:schemeClr val="bg1">
                <a:lumMod val="85000"/>
              </a:schemeClr>
            </a:solidFill>
            <a:ln w="9525" cap="flat" cmpd="sng" algn="ctr">
              <a:noFill/>
              <a:prstDash val="solid"/>
            </a:ln>
            <a:effectLst/>
          </c:spPr>
          <c:invertIfNegative val="0"/>
          <c:dLbls>
            <c:spPr>
              <a:noFill/>
              <a:ln>
                <a:noFill/>
              </a:ln>
              <a:effectLst/>
            </c:spPr>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Lit>
              <c:ptCount val="2"/>
              <c:pt idx="0">
                <c:v>Executive</c:v>
              </c:pt>
              <c:pt idx="1">
                <c:v>Non-executive</c:v>
              </c:pt>
            </c:strLit>
          </c:cat>
          <c:val>
            <c:numRef>
              <c:f>(Output!$C$55,Output!$C$57)</c:f>
              <c:numCache>
                <c:formatCode>#,##0.00</c:formatCode>
                <c:ptCount val="2"/>
                <c:pt idx="0">
                  <c:v>1.435</c:v>
                </c:pt>
                <c:pt idx="1">
                  <c:v>0.0</c:v>
                </c:pt>
              </c:numCache>
            </c:numRef>
          </c:val>
        </c:ser>
        <c:dLbls>
          <c:showLegendKey val="0"/>
          <c:showVal val="0"/>
          <c:showCatName val="0"/>
          <c:showSerName val="0"/>
          <c:showPercent val="0"/>
          <c:showBubbleSize val="0"/>
        </c:dLbls>
        <c:gapWidth val="100"/>
        <c:axId val="2094884472"/>
        <c:axId val="2094877608"/>
      </c:barChart>
      <c:catAx>
        <c:axId val="2094884472"/>
        <c:scaling>
          <c:orientation val="minMax"/>
        </c:scaling>
        <c:delete val="0"/>
        <c:axPos val="b"/>
        <c:numFmt formatCode="General" sourceLinked="1"/>
        <c:majorTickMark val="out"/>
        <c:minorTickMark val="none"/>
        <c:tickLblPos val="nextTo"/>
        <c:txPr>
          <a:bodyPr/>
          <a:lstStyle/>
          <a:p>
            <a:pPr>
              <a:defRPr sz="900"/>
            </a:pPr>
            <a:endParaRPr lang="en-US"/>
          </a:p>
        </c:txPr>
        <c:crossAx val="2094877608"/>
        <c:crosses val="autoZero"/>
        <c:auto val="1"/>
        <c:lblAlgn val="ctr"/>
        <c:lblOffset val="100"/>
        <c:noMultiLvlLbl val="0"/>
      </c:catAx>
      <c:valAx>
        <c:axId val="2094877608"/>
        <c:scaling>
          <c:orientation val="minMax"/>
        </c:scaling>
        <c:delete val="1"/>
        <c:axPos val="l"/>
        <c:numFmt formatCode="#,##0.00" sourceLinked="1"/>
        <c:majorTickMark val="out"/>
        <c:minorTickMark val="none"/>
        <c:tickLblPos val="none"/>
        <c:crossAx val="2094884472"/>
        <c:crosses val="autoZero"/>
        <c:crossBetween val="between"/>
      </c:valAx>
    </c:plotArea>
    <c:legend>
      <c:legendPos val="b"/>
      <c:layout>
        <c:manualLayout>
          <c:xMode val="edge"/>
          <c:yMode val="edge"/>
          <c:x val="0.00267190346775942"/>
          <c:y val="0.847931281317108"/>
          <c:w val="0.994423512939685"/>
          <c:h val="0.0950336138619525"/>
        </c:manualLayout>
      </c:layout>
      <c:overlay val="0"/>
      <c:txPr>
        <a:bodyPr/>
        <a:lstStyle/>
        <a:p>
          <a:pPr>
            <a:defRPr sz="900"/>
          </a:pPr>
          <a:endParaRPr lang="en-US"/>
        </a:p>
      </c:txPr>
    </c:legend>
    <c:plotVisOnly val="1"/>
    <c:dispBlanksAs val="gap"/>
    <c:showDLblsOverMax val="0"/>
  </c:chart>
  <c:spPr>
    <a:ln>
      <a:noFill/>
    </a:ln>
  </c:spPr>
  <c:printSettings>
    <c:headerFooter/>
    <c:pageMargins b="0.75" l="0.7" r="0.7" t="0.75" header="0.3" footer="0.3"/>
    <c:pageSetup/>
  </c:printSettings>
  <c:userShapes r:id="rId1"/>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 Id="rId2"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 Id="rId2" Type="http://schemas.openxmlformats.org/officeDocument/2006/relationships/chart" Target="../charts/chart5.xml"/></Relationships>
</file>

<file path=xl/drawings/_rels/drawing7.xml.rels><?xml version="1.0" encoding="UTF-8" standalone="yes"?>
<Relationships xmlns="http://schemas.openxmlformats.org/package/2006/relationships"><Relationship Id="rId3" Type="http://schemas.openxmlformats.org/officeDocument/2006/relationships/chart" Target="../charts/chart8.xml"/><Relationship Id="rId4" Type="http://schemas.openxmlformats.org/officeDocument/2006/relationships/chart" Target="../charts/chart9.xml"/><Relationship Id="rId1" Type="http://schemas.openxmlformats.org/officeDocument/2006/relationships/chart" Target="../charts/chart6.xml"/><Relationship Id="rId2"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0</xdr:col>
      <xdr:colOff>171450</xdr:colOff>
      <xdr:row>27</xdr:row>
      <xdr:rowOff>28576</xdr:rowOff>
    </xdr:from>
    <xdr:to>
      <xdr:col>5</xdr:col>
      <xdr:colOff>0</xdr:colOff>
      <xdr:row>36</xdr:row>
      <xdr:rowOff>47626</xdr:rowOff>
    </xdr:to>
    <xdr:graphicFrame macro="">
      <xdr:nvGraphicFramePr>
        <xdr:cNvPr id="2"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16</xdr:col>
      <xdr:colOff>409575</xdr:colOff>
      <xdr:row>1</xdr:row>
      <xdr:rowOff>123823</xdr:rowOff>
    </xdr:from>
    <xdr:to>
      <xdr:col>17</xdr:col>
      <xdr:colOff>485775</xdr:colOff>
      <xdr:row>3</xdr:row>
      <xdr:rowOff>180973</xdr:rowOff>
    </xdr:to>
    <xdr:sp macro="[0]!Data_Downloader" textlink="">
      <xdr:nvSpPr>
        <xdr:cNvPr id="3" name="Rectangle 2"/>
        <xdr:cNvSpPr/>
      </xdr:nvSpPr>
      <xdr:spPr>
        <a:xfrm>
          <a:off x="10858500" y="314323"/>
          <a:ext cx="942975" cy="485775"/>
        </a:xfrm>
        <a:prstGeom prst="rect">
          <a:avLst/>
        </a:prstGeom>
        <a:solidFill>
          <a:schemeClr val="bg1">
            <a:lumMod val="75000"/>
          </a:schemeClr>
        </a:solidFill>
        <a:ln>
          <a:solidFill>
            <a:schemeClr val="tx1"/>
          </a:solid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solidFill>
                <a:sysClr val="windowText" lastClr="000000"/>
              </a:solidFill>
            </a:rPr>
            <a:t>1. Get Data</a:t>
          </a:r>
        </a:p>
      </xdr:txBody>
    </xdr:sp>
    <xdr:clientData/>
  </xdr:twoCellAnchor>
  <xdr:twoCellAnchor>
    <xdr:from>
      <xdr:col>16</xdr:col>
      <xdr:colOff>419100</xdr:colOff>
      <xdr:row>4</xdr:row>
      <xdr:rowOff>171448</xdr:rowOff>
    </xdr:from>
    <xdr:to>
      <xdr:col>17</xdr:col>
      <xdr:colOff>495300</xdr:colOff>
      <xdr:row>7</xdr:row>
      <xdr:rowOff>38098</xdr:rowOff>
    </xdr:to>
    <xdr:sp macro="[0]!Generate_Word" textlink="">
      <xdr:nvSpPr>
        <xdr:cNvPr id="4" name="Rectangle 3"/>
        <xdr:cNvSpPr/>
      </xdr:nvSpPr>
      <xdr:spPr>
        <a:xfrm>
          <a:off x="10868025" y="981073"/>
          <a:ext cx="942975" cy="485775"/>
        </a:xfrm>
        <a:prstGeom prst="rect">
          <a:avLst/>
        </a:prstGeom>
        <a:solidFill>
          <a:schemeClr val="bg1">
            <a:lumMod val="75000"/>
          </a:schemeClr>
        </a:solidFill>
        <a:ln>
          <a:solidFill>
            <a:schemeClr val="tx1"/>
          </a:solidFill>
        </a:ln>
        <a:effectLst>
          <a:outerShdw blurRad="190500" dist="228600" dir="2700000" algn="ctr">
            <a:srgbClr val="000000">
              <a:alpha val="30000"/>
            </a:srgbClr>
          </a:outerShdw>
        </a:effectLst>
        <a:scene3d>
          <a:camera prst="orthographicFront">
            <a:rot lat="0" lon="0" rev="0"/>
          </a:camera>
          <a:lightRig rig="glow" dir="t">
            <a:rot lat="0" lon="0" rev="4800000"/>
          </a:lightRig>
        </a:scene3d>
        <a:sp3d prstMaterial="matte">
          <a:bevelT w="127000" h="63500"/>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1100" b="1">
              <a:solidFill>
                <a:sysClr val="windowText" lastClr="000000"/>
              </a:solidFill>
            </a:rPr>
            <a:t>2. Generate doc</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0.04792</cdr:x>
      <cdr:y>0.90452</cdr:y>
    </cdr:from>
    <cdr:to>
      <cdr:x>0.90096</cdr:x>
      <cdr:y>1</cdr:y>
    </cdr:to>
    <cdr:sp macro="" textlink="">
      <cdr:nvSpPr>
        <cdr:cNvPr id="2" name="TextBox 1"/>
        <cdr:cNvSpPr txBox="1"/>
      </cdr:nvSpPr>
      <cdr:spPr>
        <a:xfrm xmlns:a="http://schemas.openxmlformats.org/drawingml/2006/main">
          <a:off x="142865" y="1714500"/>
          <a:ext cx="2543190" cy="18097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defTabSz="914400" eaLnBrk="1" fontAlgn="auto" latinLnBrk="0" hangingPunct="1">
            <a:lnSpc>
              <a:spcPct val="100000"/>
            </a:lnSpc>
            <a:spcBef>
              <a:spcPts val="0"/>
            </a:spcBef>
            <a:spcAft>
              <a:spcPts val="0"/>
            </a:spcAft>
            <a:buClrTx/>
            <a:buSzTx/>
            <a:buFontTx/>
            <a:buNone/>
            <a:tabLst/>
            <a:defRPr/>
          </a:pPr>
          <a:r>
            <a:rPr lang="en-IN" sz="900">
              <a:effectLst/>
              <a:latin typeface="+mn-lt"/>
              <a:ea typeface="+mn-ea"/>
              <a:cs typeface="+mn-cs"/>
            </a:rPr>
            <a:t>          Graph</a:t>
          </a:r>
          <a:r>
            <a:rPr lang="en-IN" sz="900" baseline="0">
              <a:effectLst/>
              <a:latin typeface="+mn-lt"/>
              <a:ea typeface="+mn-ea"/>
              <a:cs typeface="+mn-cs"/>
            </a:rPr>
            <a:t> 1: Yearly Shareholding Pattern</a:t>
          </a:r>
          <a:endParaRPr lang="en-IN" sz="900">
            <a:effectLst/>
          </a:endParaRPr>
        </a:p>
        <a:p xmlns:a="http://schemas.openxmlformats.org/drawingml/2006/main">
          <a:endParaRPr lang="en-IN" sz="900"/>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0</xdr:colOff>
      <xdr:row>28</xdr:row>
      <xdr:rowOff>7938</xdr:rowOff>
    </xdr:from>
    <xdr:to>
      <xdr:col>5</xdr:col>
      <xdr:colOff>217664</xdr:colOff>
      <xdr:row>36</xdr:row>
      <xdr:rowOff>185328</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776111</xdr:colOff>
      <xdr:row>28</xdr:row>
      <xdr:rowOff>7938</xdr:rowOff>
    </xdr:from>
    <xdr:to>
      <xdr:col>8</xdr:col>
      <xdr:colOff>478014</xdr:colOff>
      <xdr:row>36</xdr:row>
      <xdr:rowOff>182563</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oneCellAnchor>
    <xdr:from>
      <xdr:col>5</xdr:col>
      <xdr:colOff>98275</xdr:colOff>
      <xdr:row>35</xdr:row>
      <xdr:rowOff>103695</xdr:rowOff>
    </xdr:from>
    <xdr:ext cx="2950616" cy="233205"/>
    <xdr:sp macro="" textlink="">
      <xdr:nvSpPr>
        <xdr:cNvPr id="13" name="TextBox 12"/>
        <xdr:cNvSpPr txBox="1"/>
      </xdr:nvSpPr>
      <xdr:spPr>
        <a:xfrm>
          <a:off x="3146275" y="6945820"/>
          <a:ext cx="2950616" cy="233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900"/>
            <a:t>ID - Independent Director; NID - Non-Independent</a:t>
          </a:r>
          <a:r>
            <a:rPr lang="en-IN" sz="900" baseline="0"/>
            <a:t> Director</a:t>
          </a:r>
          <a:endParaRPr lang="en-IN" sz="900"/>
        </a:p>
      </xdr:txBody>
    </xdr:sp>
    <xdr:clientData/>
  </xdr:oneCellAnchor>
</xdr:wsDr>
</file>

<file path=xl/drawings/drawing4.xml><?xml version="1.0" encoding="utf-8"?>
<xdr:wsDr xmlns:xdr="http://schemas.openxmlformats.org/drawingml/2006/spreadsheetDrawing" xmlns:a="http://schemas.openxmlformats.org/drawingml/2006/main">
  <xdr:twoCellAnchor>
    <xdr:from>
      <xdr:col>1</xdr:col>
      <xdr:colOff>28575</xdr:colOff>
      <xdr:row>10</xdr:row>
      <xdr:rowOff>38101</xdr:rowOff>
    </xdr:from>
    <xdr:to>
      <xdr:col>5</xdr:col>
      <xdr:colOff>371475</xdr:colOff>
      <xdr:row>18</xdr:row>
      <xdr:rowOff>133351</xdr:rowOff>
    </xdr:to>
    <xdr:graphicFrame macro="">
      <xdr:nvGraphicFramePr>
        <xdr:cNvPr id="5"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400050</xdr:colOff>
      <xdr:row>10</xdr:row>
      <xdr:rowOff>9525</xdr:rowOff>
    </xdr:from>
    <xdr:to>
      <xdr:col>9</xdr:col>
      <xdr:colOff>28575</xdr:colOff>
      <xdr:row>18</xdr:row>
      <xdr:rowOff>104775</xdr:rowOff>
    </xdr:to>
    <xdr:graphicFrame macro="">
      <xdr:nvGraphicFramePr>
        <xdr:cNvPr id="7" name="Chart 6"/>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0.00726</cdr:x>
      <cdr:y>0.88893</cdr:y>
    </cdr:from>
    <cdr:to>
      <cdr:x>0.99967</cdr:x>
      <cdr:y>0.99677</cdr:y>
    </cdr:to>
    <cdr:sp macro="" textlink="">
      <cdr:nvSpPr>
        <cdr:cNvPr id="2" name="Text Box 20"/>
        <cdr:cNvSpPr txBox="1">
          <a:spLocks xmlns:a="http://schemas.openxmlformats.org/drawingml/2006/main" noChangeArrowheads="1"/>
        </cdr:cNvSpPr>
      </cdr:nvSpPr>
      <cdr:spPr bwMode="auto">
        <a:xfrm xmlns:a="http://schemas.openxmlformats.org/drawingml/2006/main">
          <a:off x="25867" y="1777527"/>
          <a:ext cx="3535942" cy="215630"/>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cdr:spPr>
      <cdr:txBody>
        <a:bodyPr xmlns:a="http://schemas.openxmlformats.org/drawingml/2006/main" rot="0" vert="horz" wrap="square" lIns="0" tIns="45720" rIns="0" bIns="45720" anchor="t" anchorCtr="0" upright="1">
          <a:noAutofit/>
        </a:bodyPr>
        <a:lstStyle xmlns:a="http://schemas.openxmlformats.org/drawingml/2006/main"/>
        <a:p xmlns:a="http://schemas.openxmlformats.org/drawingml/2006/main">
          <a:pPr algn="ctr"/>
          <a:r>
            <a:rPr lang="en-GB" sz="900"/>
            <a:t>Graph 2: Executive Compensation vs. Total Shareholders Return</a:t>
          </a:r>
        </a:p>
      </cdr:txBody>
    </cdr:sp>
  </cdr:relSizeAnchor>
</c:userShapes>
</file>

<file path=xl/drawings/drawing6.xml><?xml version="1.0" encoding="utf-8"?>
<c:userShapes xmlns:c="http://schemas.openxmlformats.org/drawingml/2006/chart">
  <cdr:relSizeAnchor xmlns:cdr="http://schemas.openxmlformats.org/drawingml/2006/chartDrawing">
    <cdr:from>
      <cdr:x>0.07556</cdr:x>
      <cdr:y>0.90286</cdr:y>
    </cdr:from>
    <cdr:to>
      <cdr:x>0.95556</cdr:x>
      <cdr:y>0.96571</cdr:y>
    </cdr:to>
    <cdr:sp macro="" textlink="">
      <cdr:nvSpPr>
        <cdr:cNvPr id="2" name="TextBox 1"/>
        <cdr:cNvSpPr txBox="1"/>
      </cdr:nvSpPr>
      <cdr:spPr>
        <a:xfrm xmlns:a="http://schemas.openxmlformats.org/drawingml/2006/main">
          <a:off x="161925" y="1504950"/>
          <a:ext cx="1885950" cy="1047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0.01778</cdr:x>
      <cdr:y>0.88</cdr:y>
    </cdr:from>
    <cdr:to>
      <cdr:x>1</cdr:x>
      <cdr:y>1</cdr:y>
    </cdr:to>
    <cdr:sp macro="" textlink="">
      <cdr:nvSpPr>
        <cdr:cNvPr id="3" name="TextBox 2"/>
        <cdr:cNvSpPr txBox="1"/>
      </cdr:nvSpPr>
      <cdr:spPr>
        <a:xfrm xmlns:a="http://schemas.openxmlformats.org/drawingml/2006/main">
          <a:off x="38100" y="1466849"/>
          <a:ext cx="2105025" cy="200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900"/>
            <a:t>Graph 3:</a:t>
          </a:r>
          <a:r>
            <a:rPr lang="en-IN" sz="900" baseline="0"/>
            <a:t> Average director remuneratiion</a:t>
          </a:r>
          <a:endParaRPr lang="en-IN" sz="900"/>
        </a:p>
      </cdr:txBody>
    </cdr:sp>
  </cdr:relSizeAnchor>
</c:userShapes>
</file>

<file path=xl/drawings/drawing7.xml><?xml version="1.0" encoding="utf-8"?>
<xdr:wsDr xmlns:xdr="http://schemas.openxmlformats.org/drawingml/2006/spreadsheetDrawing" xmlns:a="http://schemas.openxmlformats.org/drawingml/2006/main">
  <xdr:twoCellAnchor>
    <xdr:from>
      <xdr:col>0</xdr:col>
      <xdr:colOff>104775</xdr:colOff>
      <xdr:row>14</xdr:row>
      <xdr:rowOff>114301</xdr:rowOff>
    </xdr:from>
    <xdr:to>
      <xdr:col>4</xdr:col>
      <xdr:colOff>510375</xdr:colOff>
      <xdr:row>26</xdr:row>
      <xdr:rowOff>139501</xdr:rowOff>
    </xdr:to>
    <xdr:graphicFrame macro="">
      <xdr:nvGraphicFramePr>
        <xdr:cNvPr id="4" name="Chart 4"/>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114300</xdr:colOff>
      <xdr:row>0</xdr:row>
      <xdr:rowOff>66675</xdr:rowOff>
    </xdr:from>
    <xdr:to>
      <xdr:col>5</xdr:col>
      <xdr:colOff>5550</xdr:colOff>
      <xdr:row>12</xdr:row>
      <xdr:rowOff>80215</xdr:rowOff>
    </xdr:to>
    <xdr:graphicFrame macro="">
      <xdr:nvGraphicFramePr>
        <xdr:cNvPr id="5" name="Chart 3"/>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123825</xdr:colOff>
      <xdr:row>28</xdr:row>
      <xdr:rowOff>38100</xdr:rowOff>
    </xdr:from>
    <xdr:to>
      <xdr:col>4</xdr:col>
      <xdr:colOff>133425</xdr:colOff>
      <xdr:row>42</xdr:row>
      <xdr:rowOff>10500</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117475</xdr:colOff>
      <xdr:row>42</xdr:row>
      <xdr:rowOff>127000</xdr:rowOff>
    </xdr:from>
    <xdr:to>
      <xdr:col>6</xdr:col>
      <xdr:colOff>82550</xdr:colOff>
      <xdr:row>56</xdr:row>
      <xdr:rowOff>48600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8.xml><?xml version="1.0" encoding="utf-8"?>
<c:userShapes xmlns:c="http://schemas.openxmlformats.org/drawingml/2006/chart">
  <cdr:relSizeAnchor xmlns:cdr="http://schemas.openxmlformats.org/drawingml/2006/chartDrawing">
    <cdr:from>
      <cdr:x>0</cdr:x>
      <cdr:y>0.91075</cdr:y>
    </cdr:from>
    <cdr:to>
      <cdr:x>0</cdr:x>
      <cdr:y>0.91125</cdr:y>
    </cdr:to>
    <cdr:sp macro="" textlink="">
      <cdr:nvSpPr>
        <cdr:cNvPr id="3" name="Text Box 19"/>
        <cdr:cNvSpPr txBox="1">
          <a:spLocks xmlns:a="http://schemas.openxmlformats.org/drawingml/2006/main" noChangeArrowheads="1"/>
        </cdr:cNvSpPr>
      </cdr:nvSpPr>
      <cdr:spPr bwMode="auto">
        <a:xfrm xmlns:a="http://schemas.openxmlformats.org/drawingml/2006/main">
          <a:off x="0" y="2219324"/>
          <a:ext cx="3305175" cy="219075"/>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cdr:spPr>
      <cdr:txBody>
        <a:bodyPr xmlns:a="http://schemas.openxmlformats.org/drawingml/2006/main" rot="0" vert="horz" wrap="square" lIns="91440" tIns="45720" rIns="91440" bIns="45720" anchor="t" anchorCtr="0" upright="1">
          <a:noAutofit/>
        </a:bodyPr>
        <a:lstStyle xmlns:a="http://schemas.openxmlformats.org/drawingml/2006/main"/>
        <a:p xmlns:a="http://schemas.openxmlformats.org/drawingml/2006/main">
          <a:pPr algn="ctr"/>
          <a:r>
            <a:rPr lang="en-GB" sz="900"/>
            <a:t>Graph1: Peer comparison of Price/ Earnings ratio</a:t>
          </a:r>
        </a:p>
      </cdr:txBody>
    </cdr:sp>
  </cdr:relSizeAnchor>
  <cdr:relSizeAnchor xmlns:cdr="http://schemas.openxmlformats.org/drawingml/2006/chartDrawing">
    <cdr:from>
      <cdr:x>0</cdr:x>
      <cdr:y>0.89857</cdr:y>
    </cdr:from>
    <cdr:to>
      <cdr:x>1</cdr:x>
      <cdr:y>0.97396</cdr:y>
    </cdr:to>
    <cdr:sp macro="" textlink="">
      <cdr:nvSpPr>
        <cdr:cNvPr id="7" name="Text Box 20"/>
        <cdr:cNvSpPr txBox="1">
          <a:spLocks xmlns:a="http://schemas.openxmlformats.org/drawingml/2006/main" noChangeArrowheads="1"/>
        </cdr:cNvSpPr>
      </cdr:nvSpPr>
      <cdr:spPr bwMode="auto">
        <a:xfrm xmlns:a="http://schemas.openxmlformats.org/drawingml/2006/main">
          <a:off x="0" y="1643302"/>
          <a:ext cx="2581275" cy="137873"/>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cdr:spPr>
      <cdr:txBody>
        <a:bodyPr xmlns:a="http://schemas.openxmlformats.org/drawingml/2006/main" rot="0" vert="horz" wrap="square" lIns="91440" tIns="45720" rIns="91440" bIns="45720" anchor="t" anchorCtr="0" upright="1">
          <a:noAutofit/>
        </a:bodyP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900">
              <a:effectLst/>
              <a:latin typeface="Calibri"/>
            </a:rPr>
            <a:t>Graph xx: Dividend Payout and EPS </a:t>
          </a:r>
          <a:endParaRPr lang="en-GB" sz="900"/>
        </a:p>
      </cdr:txBody>
    </cdr:sp>
  </cdr:relSizeAnchor>
  <cdr:relSizeAnchor xmlns:cdr="http://schemas.openxmlformats.org/drawingml/2006/chartDrawing">
    <cdr:from>
      <cdr:x>0.00084</cdr:x>
      <cdr:y>0</cdr:y>
    </cdr:from>
    <cdr:to>
      <cdr:x>1</cdr:x>
      <cdr:y>0.11008</cdr:y>
    </cdr:to>
    <cdr:sp macro="" textlink="">
      <cdr:nvSpPr>
        <cdr:cNvPr id="4" name="Rectangle 3"/>
        <cdr:cNvSpPr>
          <a:spLocks xmlns:a="http://schemas.openxmlformats.org/drawingml/2006/main"/>
        </cdr:cNvSpPr>
      </cdr:nvSpPr>
      <cdr:spPr>
        <a:xfrm xmlns:a="http://schemas.openxmlformats.org/drawingml/2006/main">
          <a:off x="2540" y="0"/>
          <a:ext cx="3007360" cy="216000"/>
        </a:xfrm>
        <a:prstGeom xmlns:a="http://schemas.openxmlformats.org/drawingml/2006/main" prst="rect">
          <a:avLst/>
        </a:prstGeom>
        <a:solidFill xmlns:a="http://schemas.openxmlformats.org/drawingml/2006/main">
          <a:schemeClr val="tx1">
            <a:lumMod val="65000"/>
            <a:lumOff val="35000"/>
          </a:schemeClr>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nchor="ctr">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lnSpc>
              <a:spcPct val="114000"/>
            </a:lnSpc>
            <a:spcAft>
              <a:spcPts val="900"/>
            </a:spcAft>
          </a:pPr>
          <a:r>
            <a:rPr lang="en-US" sz="1000" b="1">
              <a:solidFill>
                <a:srgbClr val="FFFFFF"/>
              </a:solidFill>
              <a:effectLst/>
              <a:ea typeface="Calibri"/>
              <a:cs typeface="Times New Roman"/>
            </a:rPr>
            <a:t>Dividend and Earnings</a:t>
          </a:r>
          <a:endParaRPr lang="en-IN" sz="1000">
            <a:effectLst/>
            <a:ea typeface="Calibri"/>
            <a:cs typeface="Times New Roman"/>
          </a:endParaRPr>
        </a:p>
      </cdr:txBody>
    </cdr:sp>
  </cdr:relSizeAnchor>
</c:userShapes>
</file>

<file path=xl/drawings/drawing9.xml><?xml version="1.0" encoding="utf-8"?>
<c:userShapes xmlns:c="http://schemas.openxmlformats.org/drawingml/2006/chart">
  <cdr:relSizeAnchor xmlns:cdr="http://schemas.openxmlformats.org/drawingml/2006/chartDrawing">
    <cdr:from>
      <cdr:x>0</cdr:x>
      <cdr:y>0</cdr:y>
    </cdr:from>
    <cdr:to>
      <cdr:x>1</cdr:x>
      <cdr:y>0.11054</cdr:y>
    </cdr:to>
    <cdr:sp macro="" textlink="">
      <cdr:nvSpPr>
        <cdr:cNvPr id="2" name="Rectangle 1"/>
        <cdr:cNvSpPr/>
      </cdr:nvSpPr>
      <cdr:spPr>
        <a:xfrm xmlns:a="http://schemas.openxmlformats.org/drawingml/2006/main">
          <a:off x="0" y="-1"/>
          <a:ext cx="3531235" cy="252000"/>
        </a:xfrm>
        <a:prstGeom xmlns:a="http://schemas.openxmlformats.org/drawingml/2006/main" prst="rect">
          <a:avLst/>
        </a:prstGeom>
        <a:solidFill xmlns:a="http://schemas.openxmlformats.org/drawingml/2006/main">
          <a:srgbClr val="464646"/>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sz="1000" b="1">
              <a:solidFill>
                <a:schemeClr val="bg1"/>
              </a:solidFill>
            </a:rPr>
            <a:t>Dividend Payout Ratio - Peer Comparison</a:t>
          </a:r>
        </a:p>
      </cdr:txBody>
    </cdr:sp>
  </cdr:relSizeAnchor>
  <cdr:relSizeAnchor xmlns:cdr="http://schemas.openxmlformats.org/drawingml/2006/chartDrawing">
    <cdr:from>
      <cdr:x>0</cdr:x>
      <cdr:y>0.91075</cdr:y>
    </cdr:from>
    <cdr:to>
      <cdr:x>0</cdr:x>
      <cdr:y>0.91125</cdr:y>
    </cdr:to>
    <cdr:sp macro="" textlink="">
      <cdr:nvSpPr>
        <cdr:cNvPr id="3" name="Text Box 19"/>
        <cdr:cNvSpPr txBox="1">
          <a:spLocks xmlns:a="http://schemas.openxmlformats.org/drawingml/2006/main" noChangeArrowheads="1"/>
        </cdr:cNvSpPr>
      </cdr:nvSpPr>
      <cdr:spPr bwMode="auto">
        <a:xfrm xmlns:a="http://schemas.openxmlformats.org/drawingml/2006/main">
          <a:off x="0" y="2219324"/>
          <a:ext cx="3305175" cy="219075"/>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cdr:spPr>
      <cdr:txBody>
        <a:bodyPr xmlns:a="http://schemas.openxmlformats.org/drawingml/2006/main" rot="0" vert="horz" wrap="square" lIns="91440" tIns="45720" rIns="91440" bIns="45720" anchor="t" anchorCtr="0" upright="1">
          <a:noAutofit/>
        </a:bodyPr>
        <a:lstStyle xmlns:a="http://schemas.openxmlformats.org/drawingml/2006/main"/>
        <a:p xmlns:a="http://schemas.openxmlformats.org/drawingml/2006/main">
          <a:pPr algn="ctr"/>
          <a:r>
            <a:rPr lang="en-GB" sz="900"/>
            <a:t>Graph1: Peer comparison of Price/ Earnings ratio</a:t>
          </a:r>
        </a:p>
      </cdr:txBody>
    </cdr:sp>
  </cdr:relSizeAnchor>
  <cdr:relSizeAnchor xmlns:cdr="http://schemas.openxmlformats.org/drawingml/2006/chartDrawing">
    <cdr:from>
      <cdr:x>0</cdr:x>
      <cdr:y>0.89806</cdr:y>
    </cdr:from>
    <cdr:to>
      <cdr:x>1</cdr:x>
      <cdr:y>1</cdr:y>
    </cdr:to>
    <cdr:sp macro="" textlink="">
      <cdr:nvSpPr>
        <cdr:cNvPr id="7" name="Text Box 20"/>
        <cdr:cNvSpPr txBox="1">
          <a:spLocks xmlns:a="http://schemas.openxmlformats.org/drawingml/2006/main" noChangeArrowheads="1"/>
        </cdr:cNvSpPr>
      </cdr:nvSpPr>
      <cdr:spPr bwMode="auto">
        <a:xfrm xmlns:a="http://schemas.openxmlformats.org/drawingml/2006/main">
          <a:off x="0" y="1762125"/>
          <a:ext cx="2686050" cy="200025"/>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cdr:spPr>
      <cdr:txBody>
        <a:bodyPr xmlns:a="http://schemas.openxmlformats.org/drawingml/2006/main" rot="0" vert="horz" wrap="square" lIns="91440" tIns="45720" rIns="91440" bIns="45720" anchor="t" anchorCtr="0" upright="1">
          <a:noAutofit/>
        </a:bodyP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900">
              <a:effectLst/>
              <a:latin typeface="Calibri"/>
            </a:rPr>
            <a:t>Graph xx: Dividend Payout Analysis</a:t>
          </a:r>
          <a:endParaRPr lang="en-GB" sz="900"/>
        </a:p>
      </cdr:txBody>
    </cdr:sp>
  </cdr:relSizeAnchor>
  <cdr:relSizeAnchor xmlns:cdr="http://schemas.openxmlformats.org/drawingml/2006/chartDrawing">
    <cdr:from>
      <cdr:x>0.60151</cdr:x>
      <cdr:y>0.54129</cdr:y>
    </cdr:from>
    <cdr:to>
      <cdr:x>0.91529</cdr:x>
      <cdr:y>0.63386</cdr:y>
    </cdr:to>
    <cdr:sp macro="" textlink="">
      <cdr:nvSpPr>
        <cdr:cNvPr id="4" name="Text Box 3"/>
        <cdr:cNvSpPr txBox="1"/>
      </cdr:nvSpPr>
      <cdr:spPr>
        <a:xfrm xmlns:a="http://schemas.openxmlformats.org/drawingml/2006/main">
          <a:off x="1615673" y="1309570"/>
          <a:ext cx="842829" cy="22395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900"/>
            <a:t>Peer 2</a:t>
          </a:r>
        </a:p>
      </cdr:txBody>
    </cdr:sp>
  </cdr:relSizeAnchor>
  <cdr:relSizeAnchor xmlns:cdr="http://schemas.openxmlformats.org/drawingml/2006/chartDrawing">
    <cdr:from>
      <cdr:x>0.19689</cdr:x>
      <cdr:y>0.57388</cdr:y>
    </cdr:from>
    <cdr:to>
      <cdr:x>0.56601</cdr:x>
      <cdr:y>0.68762</cdr:y>
    </cdr:to>
    <cdr:sp macro="" textlink="">
      <cdr:nvSpPr>
        <cdr:cNvPr id="6" name="Text Box 1"/>
        <cdr:cNvSpPr txBox="1"/>
      </cdr:nvSpPr>
      <cdr:spPr>
        <a:xfrm xmlns:a="http://schemas.openxmlformats.org/drawingml/2006/main">
          <a:off x="559965" y="1057276"/>
          <a:ext cx="1049760" cy="209549"/>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r>
            <a:rPr lang="en-GB" sz="900"/>
            <a:t>Company</a:t>
          </a:r>
        </a:p>
      </cdr:txBody>
    </cdr:sp>
  </cdr:relSizeAnchor>
  <cdr:relSizeAnchor xmlns:cdr="http://schemas.openxmlformats.org/drawingml/2006/chartDrawing">
    <cdr:from>
      <cdr:x>0.07008</cdr:x>
      <cdr:y>0.37786</cdr:y>
    </cdr:from>
    <cdr:to>
      <cdr:x>0.33693</cdr:x>
      <cdr:y>0.47533</cdr:y>
    </cdr:to>
    <cdr:sp macro="" textlink="">
      <cdr:nvSpPr>
        <cdr:cNvPr id="8" name="Text Box 1"/>
        <cdr:cNvSpPr txBox="1"/>
      </cdr:nvSpPr>
      <cdr:spPr>
        <a:xfrm xmlns:a="http://schemas.openxmlformats.org/drawingml/2006/main">
          <a:off x="247650" y="996950"/>
          <a:ext cx="942975" cy="257175"/>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endParaRPr lang="en-GB" sz="900"/>
        </a:p>
      </cdr:txBody>
    </cdr:sp>
  </cdr:relSizeAnchor>
  <cdr:relSizeAnchor xmlns:cdr="http://schemas.openxmlformats.org/drawingml/2006/chartDrawing">
    <cdr:from>
      <cdr:x>0.21833</cdr:x>
      <cdr:y>0.14801</cdr:y>
    </cdr:from>
    <cdr:to>
      <cdr:x>0.48518</cdr:x>
      <cdr:y>0.24549</cdr:y>
    </cdr:to>
    <cdr:sp macro="" textlink="">
      <cdr:nvSpPr>
        <cdr:cNvPr id="9" name="Text Box 1"/>
        <cdr:cNvSpPr txBox="1"/>
      </cdr:nvSpPr>
      <cdr:spPr>
        <a:xfrm xmlns:a="http://schemas.openxmlformats.org/drawingml/2006/main">
          <a:off x="771525" y="390525"/>
          <a:ext cx="942975" cy="257175"/>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endParaRPr lang="en-GB" sz="900"/>
        </a:p>
      </cdr:txBody>
    </cdr:sp>
  </cdr:relSizeAnchor>
  <cdr:relSizeAnchor xmlns:cdr="http://schemas.openxmlformats.org/drawingml/2006/chartDrawing">
    <cdr:from>
      <cdr:x>0.35341</cdr:x>
      <cdr:y>0.26286</cdr:y>
    </cdr:from>
    <cdr:to>
      <cdr:x>0.54797</cdr:x>
      <cdr:y>0.36033</cdr:y>
    </cdr:to>
    <cdr:sp macro="" textlink="">
      <cdr:nvSpPr>
        <cdr:cNvPr id="10" name="Text Box 1"/>
        <cdr:cNvSpPr txBox="1"/>
      </cdr:nvSpPr>
      <cdr:spPr>
        <a:xfrm xmlns:a="http://schemas.openxmlformats.org/drawingml/2006/main">
          <a:off x="949281" y="635957"/>
          <a:ext cx="522598" cy="235814"/>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r>
            <a:rPr lang="en-GB" sz="900"/>
            <a:t>Peer 1</a:t>
          </a:r>
        </a:p>
      </cdr:txBody>
    </cdr:sp>
  </cdr:relSizeAnchor>
</c:userShapes>
</file>

<file path=xl/drawings/drawing10.xml><?xml version="1.0" encoding="utf-8"?>
<c:userShapes xmlns:c="http://schemas.openxmlformats.org/drawingml/2006/chart">
  <cdr:relSizeAnchor xmlns:cdr="http://schemas.openxmlformats.org/drawingml/2006/chartDrawing">
    <cdr:from>
      <cdr:x>0</cdr:x>
      <cdr:y>0.92</cdr:y>
    </cdr:from>
    <cdr:to>
      <cdr:x>0.99987</cdr:x>
      <cdr:y>1</cdr:y>
    </cdr:to>
    <cdr:sp macro="" textlink="">
      <cdr:nvSpPr>
        <cdr:cNvPr id="2" name="Text Box 1"/>
        <cdr:cNvSpPr txBox="1"/>
      </cdr:nvSpPr>
      <cdr:spPr>
        <a:xfrm xmlns:a="http://schemas.openxmlformats.org/drawingml/2006/main">
          <a:off x="0" y="2190750"/>
          <a:ext cx="2971414" cy="1905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indent="0" algn="ctr" defTabSz="914400" eaLnBrk="1" fontAlgn="auto" latinLnBrk="0" hangingPunct="1">
            <a:lnSpc>
              <a:spcPct val="100000"/>
            </a:lnSpc>
            <a:spcBef>
              <a:spcPts val="0"/>
            </a:spcBef>
            <a:spcAft>
              <a:spcPts val="0"/>
            </a:spcAft>
            <a:buClrTx/>
            <a:buSzTx/>
            <a:buFontTx/>
            <a:buNone/>
            <a:tabLst/>
            <a:defRPr/>
          </a:pPr>
          <a:r>
            <a:rPr lang="en-US" sz="900">
              <a:effectLst/>
              <a:latin typeface="+mn-lt"/>
              <a:ea typeface="+mn-ea"/>
              <a:cs typeface="+mn-cs"/>
            </a:rPr>
            <a:t>Graph xx: Remuneration Components</a:t>
          </a:r>
          <a:endParaRPr lang="en-GB" sz="900">
            <a:effectLst/>
            <a:latin typeface="+mn-lt"/>
            <a:ea typeface="+mn-ea"/>
            <a:cs typeface="+mn-cs"/>
          </a:endParaRPr>
        </a:p>
      </cdr:txBody>
    </cdr:sp>
  </cdr:relSizeAnchor>
  <cdr:relSizeAnchor xmlns:cdr="http://schemas.openxmlformats.org/drawingml/2006/chartDrawing">
    <cdr:from>
      <cdr:x>0.75321</cdr:x>
      <cdr:y>0.71598</cdr:y>
    </cdr:from>
    <cdr:to>
      <cdr:x>1</cdr:x>
      <cdr:y>1</cdr:y>
    </cdr:to>
    <cdr:sp macro="" textlink="">
      <cdr:nvSpPr>
        <cdr:cNvPr id="3" name="Text Box 2"/>
        <cdr:cNvSpPr txBox="1"/>
      </cdr:nvSpPr>
      <cdr:spPr>
        <a:xfrm xmlns:a="http://schemas.openxmlformats.org/drawingml/2006/main">
          <a:off x="2809875" y="257175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endParaRPr lang="en-GB" sz="1100"/>
        </a:p>
      </cdr:txBody>
    </cdr:sp>
  </cdr:relSizeAnchor>
  <cdr:relSizeAnchor xmlns:cdr="http://schemas.openxmlformats.org/drawingml/2006/chartDrawing">
    <cdr:from>
      <cdr:x>0</cdr:x>
      <cdr:y>0</cdr:y>
    </cdr:from>
    <cdr:to>
      <cdr:x>1</cdr:x>
      <cdr:y>0.118</cdr:y>
    </cdr:to>
    <cdr:sp macro="" textlink="">
      <cdr:nvSpPr>
        <cdr:cNvPr id="4" name="Rectangle 3"/>
        <cdr:cNvSpPr/>
      </cdr:nvSpPr>
      <cdr:spPr>
        <a:xfrm xmlns:a="http://schemas.openxmlformats.org/drawingml/2006/main">
          <a:off x="0" y="0"/>
          <a:ext cx="2447925" cy="248400"/>
        </a:xfrm>
        <a:prstGeom xmlns:a="http://schemas.openxmlformats.org/drawingml/2006/main" prst="rect">
          <a:avLst/>
        </a:prstGeom>
        <a:solidFill xmlns:a="http://schemas.openxmlformats.org/drawingml/2006/main">
          <a:srgbClr val="464646"/>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nchor="ctr"/>
        <a:lstStyle xmlns:a="http://schemas.openxmlformats.org/drawingml/2006/main"/>
        <a:p xmlns:a="http://schemas.openxmlformats.org/drawingml/2006/main">
          <a:pPr algn="ctr"/>
          <a:r>
            <a:rPr lang="en-GB" sz="1000" b="1"/>
            <a:t>Remuneration components</a:t>
          </a:r>
        </a:p>
      </cdr:txBody>
    </cdr:sp>
  </cdr:relSizeAnchor>
  <cdr:relSizeAnchor xmlns:cdr="http://schemas.openxmlformats.org/drawingml/2006/chartDrawing">
    <cdr:from>
      <cdr:x>0.71814</cdr:x>
      <cdr:y>0.17328</cdr:y>
    </cdr:from>
    <cdr:to>
      <cdr:x>1</cdr:x>
      <cdr:y>0.30315</cdr:y>
    </cdr:to>
    <cdr:sp macro="" textlink="">
      <cdr:nvSpPr>
        <cdr:cNvPr id="5" name="Text Box 4"/>
        <cdr:cNvSpPr txBox="1"/>
      </cdr:nvSpPr>
      <cdr:spPr>
        <a:xfrm xmlns:a="http://schemas.openxmlformats.org/drawingml/2006/main">
          <a:off x="1757953" y="364760"/>
          <a:ext cx="689972" cy="27337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GB" sz="900"/>
            <a:t>FY14/15</a:t>
          </a:r>
        </a:p>
      </cdr:txBody>
    </cdr:sp>
  </cdr:relSizeAnchor>
  <cdr:relSizeAnchor xmlns:cdr="http://schemas.openxmlformats.org/drawingml/2006/chartDrawing">
    <cdr:from>
      <cdr:x>0.74708</cdr:x>
      <cdr:y>0.6182</cdr:y>
    </cdr:from>
    <cdr:to>
      <cdr:x>1</cdr:x>
      <cdr:y>0.74807</cdr:y>
    </cdr:to>
    <cdr:sp macro="" textlink="">
      <cdr:nvSpPr>
        <cdr:cNvPr id="6" name="Text Box 1"/>
        <cdr:cNvSpPr txBox="1"/>
      </cdr:nvSpPr>
      <cdr:spPr>
        <a:xfrm xmlns:a="http://schemas.openxmlformats.org/drawingml/2006/main">
          <a:off x="1828799" y="1301326"/>
          <a:ext cx="619125" cy="273380"/>
        </a:xfrm>
        <a:prstGeom xmlns:a="http://schemas.openxmlformats.org/drawingml/2006/main" prst="rect">
          <a:avLst/>
        </a:prstGeom>
      </cdr:spPr>
      <cdr:txBody>
        <a:bodyPr xmlns:a="http://schemas.openxmlformats.org/drawingml/2006/main" wrap="square" rtlCol="0"/>
        <a:lstStyle xmlns:a="http://schemas.openxmlformats.org/drawingml/2006/main"/>
        <a:p xmlns:a="http://schemas.openxmlformats.org/drawingml/2006/main">
          <a:r>
            <a:rPr lang="en-GB" sz="900"/>
            <a:t>FY13/14</a:t>
          </a:r>
        </a:p>
        <a:p xmlns:a="http://schemas.openxmlformats.org/drawingml/2006/main">
          <a:endParaRPr lang="en-GB" sz="900"/>
        </a:p>
        <a:p xmlns:a="http://schemas.openxmlformats.org/drawingml/2006/main">
          <a:endParaRPr lang="en-GB" sz="900"/>
        </a:p>
      </cdr:txBody>
    </cdr:sp>
  </cdr:relSizeAnchor>
  <cdr:relSizeAnchor xmlns:cdr="http://schemas.openxmlformats.org/drawingml/2006/chartDrawing">
    <cdr:from>
      <cdr:x>0.73496</cdr:x>
      <cdr:y>0.26941</cdr:y>
    </cdr:from>
    <cdr:to>
      <cdr:x>0.87311</cdr:x>
      <cdr:y>0.40269</cdr:y>
    </cdr:to>
    <cdr:cxnSp macro="">
      <cdr:nvCxnSpPr>
        <cdr:cNvPr id="7" name="Elbow Connector 6"/>
        <cdr:cNvCxnSpPr/>
      </cdr:nvCxnSpPr>
      <cdr:spPr>
        <a:xfrm xmlns:a="http://schemas.openxmlformats.org/drawingml/2006/main" flipH="1">
          <a:off x="2184143" y="641533"/>
          <a:ext cx="410554" cy="317373"/>
        </a:xfrm>
        <a:prstGeom xmlns:a="http://schemas.openxmlformats.org/drawingml/2006/main" prst="bentConnector3">
          <a:avLst>
            <a:gd name="adj1" fmla="val -1111"/>
          </a:avLst>
        </a:prstGeom>
        <a:ln xmlns:a="http://schemas.openxmlformats.org/drawingml/2006/main">
          <a:solidFill>
            <a:sysClr val="windowText" lastClr="000000"/>
          </a:solidFill>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0.66776</cdr:x>
      <cdr:y>0.51384</cdr:y>
    </cdr:from>
    <cdr:to>
      <cdr:x>0.91244</cdr:x>
      <cdr:y>0.60612</cdr:y>
    </cdr:to>
    <cdr:cxnSp macro="">
      <cdr:nvCxnSpPr>
        <cdr:cNvPr id="9" name="Elbow Connector 8"/>
        <cdr:cNvCxnSpPr/>
      </cdr:nvCxnSpPr>
      <cdr:spPr>
        <a:xfrm xmlns:a="http://schemas.openxmlformats.org/drawingml/2006/main" rot="10800000">
          <a:off x="1984453" y="1223582"/>
          <a:ext cx="727140" cy="219741"/>
        </a:xfrm>
        <a:prstGeom xmlns:a="http://schemas.openxmlformats.org/drawingml/2006/main" prst="bentConnector3">
          <a:avLst>
            <a:gd name="adj1" fmla="val -187"/>
          </a:avLst>
        </a:prstGeom>
        <a:ln xmlns:a="http://schemas.openxmlformats.org/drawingml/2006/main">
          <a:solidFill>
            <a:sysClr val="windowText" lastClr="000000"/>
          </a:solidFill>
          <a:tailEnd type="arrow"/>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userShapes>
</file>

<file path=xl/drawings/drawing11.xml><?xml version="1.0" encoding="utf-8"?>
<c:userShapes xmlns:c="http://schemas.openxmlformats.org/drawingml/2006/chart">
  <cdr:relSizeAnchor xmlns:cdr="http://schemas.openxmlformats.org/drawingml/2006/chartDrawing">
    <cdr:from>
      <cdr:x>0</cdr:x>
      <cdr:y>0.90179</cdr:y>
    </cdr:from>
    <cdr:to>
      <cdr:x>1</cdr:x>
      <cdr:y>0.99091</cdr:y>
    </cdr:to>
    <cdr:sp macro="" textlink="">
      <cdr:nvSpPr>
        <cdr:cNvPr id="2" name="Text Box 20"/>
        <cdr:cNvSpPr txBox="1">
          <a:spLocks xmlns:a="http://schemas.openxmlformats.org/drawingml/2006/main" noChangeArrowheads="1"/>
        </cdr:cNvSpPr>
      </cdr:nvSpPr>
      <cdr:spPr bwMode="auto">
        <a:xfrm xmlns:a="http://schemas.openxmlformats.org/drawingml/2006/main">
          <a:off x="0" y="1889699"/>
          <a:ext cx="3324225" cy="186751"/>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cdr:spPr>
      <cdr:txBody>
        <a:bodyPr xmlns:a="http://schemas.openxmlformats.org/drawingml/2006/main" rot="0" vert="horz" wrap="square" lIns="0" tIns="45720" rIns="0" bIns="45720" anchor="ctr" anchorCtr="0" upright="1">
          <a:noAutofit/>
        </a:bodyP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r>
            <a:rPr lang="en-GB" sz="900"/>
            <a:t>Graph</a:t>
          </a:r>
          <a:r>
            <a:rPr lang="en-GB" sz="900" baseline="0"/>
            <a:t> xx: Historical Trends in Auditors' Remuneration</a:t>
          </a:r>
          <a:endParaRPr lang="en-GB" sz="900"/>
        </a:p>
      </cdr:txBody>
    </cdr:sp>
  </cdr:relSizeAnchor>
  <cdr:relSizeAnchor xmlns:cdr="http://schemas.openxmlformats.org/drawingml/2006/chartDrawing">
    <cdr:from>
      <cdr:x>0</cdr:x>
      <cdr:y>4.77213E-7</cdr:y>
    </cdr:from>
    <cdr:to>
      <cdr:x>1</cdr:x>
      <cdr:y>0.11818</cdr:y>
    </cdr:to>
    <cdr:sp macro="" textlink="">
      <cdr:nvSpPr>
        <cdr:cNvPr id="3" name="Rectangle 2"/>
        <cdr:cNvSpPr/>
      </cdr:nvSpPr>
      <cdr:spPr>
        <a:xfrm xmlns:a="http://schemas.openxmlformats.org/drawingml/2006/main">
          <a:off x="0" y="1"/>
          <a:ext cx="3324225" cy="247650"/>
        </a:xfrm>
        <a:prstGeom xmlns:a="http://schemas.openxmlformats.org/drawingml/2006/main" prst="rect">
          <a:avLst/>
        </a:prstGeom>
        <a:solidFill xmlns:a="http://schemas.openxmlformats.org/drawingml/2006/main">
          <a:srgbClr val="464646"/>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US" sz="1000" b="1"/>
            <a:t>Auditors' Remuneration</a:t>
          </a:r>
        </a:p>
      </cdr:txBody>
    </cdr:sp>
  </cdr:relSizeAnchor>
</c:userShapes>
</file>

<file path=xl/drawings/drawing12.xml><?xml version="1.0" encoding="utf-8"?>
<xdr:wsDr xmlns:xdr="http://schemas.openxmlformats.org/drawingml/2006/spreadsheetDrawing" xmlns:a="http://schemas.openxmlformats.org/drawingml/2006/main">
  <xdr:twoCellAnchor>
    <xdr:from>
      <xdr:col>5</xdr:col>
      <xdr:colOff>19050</xdr:colOff>
      <xdr:row>0</xdr:row>
      <xdr:rowOff>95250</xdr:rowOff>
    </xdr:from>
    <xdr:to>
      <xdr:col>8</xdr:col>
      <xdr:colOff>309245</xdr:colOff>
      <xdr:row>11</xdr:row>
      <xdr:rowOff>104140</xdr:rowOff>
    </xdr:to>
    <xdr:graphicFrame macro="">
      <xdr:nvGraphicFramePr>
        <xdr:cNvPr id="3" name="Object 45"/>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3.xml><?xml version="1.0" encoding="utf-8"?>
<c:userShapes xmlns:c="http://schemas.openxmlformats.org/drawingml/2006/chart">
  <cdr:relSizeAnchor xmlns:cdr="http://schemas.openxmlformats.org/drawingml/2006/chartDrawing">
    <cdr:from>
      <cdr:x>0</cdr:x>
      <cdr:y>0</cdr:y>
    </cdr:from>
    <cdr:to>
      <cdr:x>1</cdr:x>
      <cdr:y>0.12821</cdr:y>
    </cdr:to>
    <cdr:sp macro="" textlink="">
      <cdr:nvSpPr>
        <cdr:cNvPr id="2" name="Rectangle 1"/>
        <cdr:cNvSpPr/>
      </cdr:nvSpPr>
      <cdr:spPr>
        <a:xfrm xmlns:a="http://schemas.openxmlformats.org/drawingml/2006/main">
          <a:off x="0" y="0"/>
          <a:ext cx="2118995" cy="256374"/>
        </a:xfrm>
        <a:prstGeom xmlns:a="http://schemas.openxmlformats.org/drawingml/2006/main" prst="rect">
          <a:avLst/>
        </a:prstGeom>
        <a:solidFill xmlns:a="http://schemas.openxmlformats.org/drawingml/2006/main">
          <a:srgbClr val="464646"/>
        </a:solidFill>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nchor="ctr"/>
        <a:lstStyle xmlns:a="http://schemas.openxmlformats.org/drawingml/2006/main"/>
        <a:p xmlns:a="http://schemas.openxmlformats.org/drawingml/2006/main">
          <a:pPr algn="ctr"/>
          <a:r>
            <a:rPr lang="en-US" b="1">
              <a:solidFill>
                <a:schemeClr val="bg1"/>
              </a:solidFill>
            </a:rPr>
            <a:t>Average Remuneration (In </a:t>
          </a:r>
          <a:r>
            <a:rPr lang="en-US" b="1">
              <a:solidFill>
                <a:schemeClr val="bg1"/>
              </a:solidFill>
              <a:latin typeface="+mn-lt"/>
            </a:rPr>
            <a:t>₹ </a:t>
          </a:r>
          <a:r>
            <a:rPr lang="en-US" b="1">
              <a:solidFill>
                <a:schemeClr val="bg1"/>
              </a:solidFill>
            </a:rPr>
            <a:t>Cr)</a:t>
          </a:r>
        </a:p>
      </cdr:txBody>
    </cdr:sp>
  </cdr:relSizeAnchor>
  <cdr:relSizeAnchor xmlns:cdr="http://schemas.openxmlformats.org/drawingml/2006/chartDrawing">
    <cdr:from>
      <cdr:x>0</cdr:x>
      <cdr:y>0.91075</cdr:y>
    </cdr:from>
    <cdr:to>
      <cdr:x>0</cdr:x>
      <cdr:y>0.91125</cdr:y>
    </cdr:to>
    <cdr:sp macro="" textlink="">
      <cdr:nvSpPr>
        <cdr:cNvPr id="3" name="Text Box 19"/>
        <cdr:cNvSpPr txBox="1">
          <a:spLocks xmlns:a="http://schemas.openxmlformats.org/drawingml/2006/main" noChangeArrowheads="1"/>
        </cdr:cNvSpPr>
      </cdr:nvSpPr>
      <cdr:spPr bwMode="auto">
        <a:xfrm xmlns:a="http://schemas.openxmlformats.org/drawingml/2006/main">
          <a:off x="0" y="2219324"/>
          <a:ext cx="3305175" cy="219075"/>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cdr:spPr>
      <cdr:txBody>
        <a:bodyPr xmlns:a="http://schemas.openxmlformats.org/drawingml/2006/main" rot="0" vert="horz" wrap="square" lIns="91440" tIns="45720" rIns="91440" bIns="45720" anchor="t" anchorCtr="0" upright="1">
          <a:noAutofit/>
        </a:bodyPr>
        <a:lstStyle xmlns:a="http://schemas.openxmlformats.org/drawingml/2006/main"/>
        <a:p xmlns:a="http://schemas.openxmlformats.org/drawingml/2006/main">
          <a:pPr algn="ctr"/>
          <a:r>
            <a:rPr lang="en-GB" sz="900"/>
            <a:t>Graph1: Peer comparison of Price/ Earnings ratio</a:t>
          </a:r>
        </a:p>
      </cdr:txBody>
    </cdr:sp>
  </cdr:relSizeAnchor>
  <cdr:relSizeAnchor xmlns:cdr="http://schemas.openxmlformats.org/drawingml/2006/chartDrawing">
    <cdr:from>
      <cdr:x>0</cdr:x>
      <cdr:y>0.89673</cdr:y>
    </cdr:from>
    <cdr:to>
      <cdr:x>1</cdr:x>
      <cdr:y>0.99497</cdr:y>
    </cdr:to>
    <cdr:sp macro="" textlink="">
      <cdr:nvSpPr>
        <cdr:cNvPr id="7" name="Text Box 20"/>
        <cdr:cNvSpPr txBox="1">
          <a:spLocks xmlns:a="http://schemas.openxmlformats.org/drawingml/2006/main" noChangeArrowheads="1"/>
        </cdr:cNvSpPr>
      </cdr:nvSpPr>
      <cdr:spPr bwMode="auto">
        <a:xfrm xmlns:a="http://schemas.openxmlformats.org/drawingml/2006/main">
          <a:off x="0" y="1699166"/>
          <a:ext cx="2118995" cy="186149"/>
        </a:xfrm>
        <a:prstGeom xmlns:a="http://schemas.openxmlformats.org/drawingml/2006/main" prst="rect">
          <a:avLst/>
        </a:prstGeom>
        <a:noFill xmlns:a="http://schemas.openxmlformats.org/drawingml/2006/main"/>
        <a:ln xmlns:a="http://schemas.openxmlformats.org/drawingml/2006/main">
          <a:noFill/>
        </a:ln>
        <a:extLst xmlns:a="http://schemas.openxmlformats.org/drawingml/2006/main"/>
      </cdr:spPr>
      <cdr:txBody>
        <a:bodyPr xmlns:a="http://schemas.openxmlformats.org/drawingml/2006/main" rot="0" vert="horz" wrap="square" lIns="91440" tIns="45720" rIns="91440" bIns="45720" anchor="t" anchorCtr="0" upright="1">
          <a:noAutofit/>
        </a:bodyPr>
        <a:lstStyle xmlns:a="http://schemas.openxmlformats.org/drawingml/2006/main">
          <a:lvl1pPr marL="0" indent="0">
            <a:defRPr sz="1100">
              <a:latin typeface="Calibri"/>
            </a:defRPr>
          </a:lvl1pPr>
          <a:lvl2pPr marL="457200" indent="0">
            <a:defRPr sz="1100">
              <a:latin typeface="Calibri"/>
            </a:defRPr>
          </a:lvl2pPr>
          <a:lvl3pPr marL="914400" indent="0">
            <a:defRPr sz="1100">
              <a:latin typeface="Calibri"/>
            </a:defRPr>
          </a:lvl3pPr>
          <a:lvl4pPr marL="1371600" indent="0">
            <a:defRPr sz="1100">
              <a:latin typeface="Calibri"/>
            </a:defRPr>
          </a:lvl4pPr>
          <a:lvl5pPr marL="1828800" indent="0">
            <a:defRPr sz="1100">
              <a:latin typeface="Calibri"/>
            </a:defRPr>
          </a:lvl5pPr>
          <a:lvl6pPr marL="2286000" indent="0">
            <a:defRPr sz="1100">
              <a:latin typeface="Calibri"/>
            </a:defRPr>
          </a:lvl6pPr>
          <a:lvl7pPr marL="2743200" indent="0">
            <a:defRPr sz="1100">
              <a:latin typeface="Calibri"/>
            </a:defRPr>
          </a:lvl7pPr>
          <a:lvl8pPr marL="3200400" indent="0">
            <a:defRPr sz="1100">
              <a:latin typeface="Calibri"/>
            </a:defRPr>
          </a:lvl8pPr>
          <a:lvl9pPr marL="3657600" indent="0">
            <a:defRPr sz="1100">
              <a:latin typeface="Calibri"/>
            </a:defRPr>
          </a:lvl9pPr>
        </a:lstStyle>
        <a:p xmlns:a="http://schemas.openxmlformats.org/drawingml/2006/main">
          <a:pPr algn="ctr"/>
          <a:r>
            <a:rPr lang="en-US" sz="900">
              <a:effectLst/>
              <a:latin typeface="Calibri"/>
            </a:rPr>
            <a:t>Graph 9: Average director remuneration</a:t>
          </a:r>
          <a:endParaRPr lang="en-GB" sz="900"/>
        </a:p>
      </cdr:txBody>
    </cdr:sp>
  </cdr:relSizeAnchor>
</c:userShapes>
</file>

<file path=xl/tables/table1.xml><?xml version="1.0" encoding="utf-8"?>
<table xmlns="http://schemas.openxmlformats.org/spreadsheetml/2006/main" id="1" name="Table1" displayName="Table1" ref="L3:N8" totalsRowShown="0" headerRowDxfId="29" dataDxfId="27" headerRowBorderDxfId="28" tableBorderDxfId="26" totalsRowBorderDxfId="25">
  <tableColumns count="3">
    <tableColumn id="1" name="Year on Year Growth" dataDxfId="24"/>
    <tableColumn id="2" name="MD (RHS)" dataDxfId="23" dataCellStyle="Note">
      <calculatedColumnFormula array="1">OFFSET(Input!$B$23,MATCH("MD",RIGHT(Input!$H$3:$H$22,2),0),MATCH(L4&amp;" Variable Pay",Input!$C$23:$N$23,0))+OFFSET(Input!$B$23,MATCH("MD",RIGHT(Input!$H$3:$H$22,2),0),MATCH(L4&amp;" Fixed Pay",Input!$C$23:$N$23,0))</calculatedColumnFormula>
    </tableColumn>
    <tableColumn id="3" name="Indexed TSR (LHS)" dataDxfId="22" dataCellStyle="Check Cell">
      <calculatedColumnFormula>(N11+P11)/$M$11*100</calculatedColumnFormula>
    </tableColumn>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Override1.xml><?xml version="1.0" encoding="utf-8"?>
<a:themeOverride xmlns:a="http://schemas.openxmlformats.org/drawingml/2006/main">
  <a:clrScheme name="Custom 3">
    <a:dk1>
      <a:sysClr val="windowText" lastClr="000000"/>
    </a:dk1>
    <a:lt1>
      <a:sysClr val="window" lastClr="FFFFFF"/>
    </a:lt1>
    <a:dk2>
      <a:srgbClr val="464646"/>
    </a:dk2>
    <a:lt2>
      <a:srgbClr val="DEF5FA"/>
    </a:lt2>
    <a:accent1>
      <a:srgbClr val="00B050"/>
    </a:accent1>
    <a:accent2>
      <a:srgbClr val="DA1F28"/>
    </a:accent2>
    <a:accent3>
      <a:srgbClr val="EB641B"/>
    </a:accent3>
    <a:accent4>
      <a:srgbClr val="39639D"/>
    </a:accent4>
    <a:accent5>
      <a:srgbClr val="FFD200"/>
    </a:accent5>
    <a:accent6>
      <a:srgbClr val="1E1458"/>
    </a:accent6>
    <a:hlink>
      <a:srgbClr val="FF8119"/>
    </a:hlink>
    <a:folHlink>
      <a:srgbClr val="44B9E8"/>
    </a:folHlink>
  </a:clrScheme>
  <a:fontScheme name="Custom 2">
    <a:majorFont>
      <a:latin typeface="Century Gothic"/>
      <a:ea typeface=""/>
      <a:cs typeface=""/>
    </a:majorFont>
    <a:minorFont>
      <a:latin typeface="Calibri"/>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theme/themeOverride2.xml><?xml version="1.0" encoding="utf-8"?>
<a:themeOverride xmlns:a="http://schemas.openxmlformats.org/drawingml/2006/main">
  <a:clrScheme name="Custom 3">
    <a:dk1>
      <a:sysClr val="windowText" lastClr="000000"/>
    </a:dk1>
    <a:lt1>
      <a:sysClr val="window" lastClr="FFFFFF"/>
    </a:lt1>
    <a:dk2>
      <a:srgbClr val="464646"/>
    </a:dk2>
    <a:lt2>
      <a:srgbClr val="DEF5FA"/>
    </a:lt2>
    <a:accent1>
      <a:srgbClr val="00B050"/>
    </a:accent1>
    <a:accent2>
      <a:srgbClr val="DA1F28"/>
    </a:accent2>
    <a:accent3>
      <a:srgbClr val="EB641B"/>
    </a:accent3>
    <a:accent4>
      <a:srgbClr val="39639D"/>
    </a:accent4>
    <a:accent5>
      <a:srgbClr val="FFD200"/>
    </a:accent5>
    <a:accent6>
      <a:srgbClr val="1E1458"/>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 Id="rId2"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enableFormatConditionsCalculation="0">
    <tabColor rgb="FF0070C0"/>
  </sheetPr>
  <dimension ref="A1:Q48"/>
  <sheetViews>
    <sheetView showGridLines="0" tabSelected="1" zoomScale="86" zoomScaleNormal="130" zoomScalePageLayoutView="130" workbookViewId="0">
      <selection activeCell="M24" sqref="M24"/>
    </sheetView>
  </sheetViews>
  <sheetFormatPr baseColWidth="10" defaultColWidth="13" defaultRowHeight="14" x14ac:dyDescent="0"/>
  <cols>
    <col min="1" max="1" width="2.83203125" style="219" customWidth="1"/>
    <col min="2" max="2" width="14.33203125" style="219" customWidth="1"/>
    <col min="3" max="3" width="10.1640625" style="219" customWidth="1"/>
    <col min="4" max="4" width="12" style="219" customWidth="1"/>
    <col min="5" max="5" width="10.1640625" style="219" customWidth="1"/>
    <col min="6" max="6" width="1.5" style="219" customWidth="1"/>
    <col min="7" max="8" width="9.5" style="219" customWidth="1"/>
    <col min="9" max="9" width="10.5" style="219" customWidth="1"/>
    <col min="10" max="10" width="8.5" style="219" customWidth="1"/>
    <col min="11" max="11" width="5" style="219" customWidth="1"/>
    <col min="12" max="12" width="22.5" style="219" customWidth="1"/>
    <col min="13" max="16" width="13" style="219" customWidth="1"/>
    <col min="17" max="16384" width="13" style="219"/>
  </cols>
  <sheetData>
    <row r="1" spans="1:17" ht="15" customHeight="1" thickBot="1">
      <c r="A1" s="219" t="s">
        <v>1300</v>
      </c>
    </row>
    <row r="2" spans="1:17" ht="18.75" customHeight="1" thickBot="1">
      <c r="B2" s="220" t="s">
        <v>228</v>
      </c>
      <c r="C2" s="220"/>
      <c r="D2" s="220"/>
      <c r="E2" s="220"/>
      <c r="F2" s="220"/>
      <c r="G2" s="220"/>
      <c r="H2" s="220"/>
      <c r="I2" s="220"/>
      <c r="J2" s="220" t="s">
        <v>214</v>
      </c>
      <c r="L2" s="205" t="s">
        <v>215</v>
      </c>
      <c r="M2" s="221"/>
      <c r="N2" s="221"/>
      <c r="O2" s="221"/>
      <c r="P2" s="222"/>
    </row>
    <row r="3" spans="1:17" ht="15" customHeight="1" thickBot="1">
      <c r="B3" s="360" t="s">
        <v>1379</v>
      </c>
      <c r="C3" s="361" t="s">
        <v>216</v>
      </c>
      <c r="D3" s="362" t="s">
        <v>1380</v>
      </c>
      <c r="E3" s="361" t="s">
        <v>216</v>
      </c>
      <c r="F3" s="363"/>
      <c r="G3" s="362" t="s">
        <v>1256</v>
      </c>
      <c r="H3" s="370" t="s">
        <v>216</v>
      </c>
      <c r="I3" s="362" t="s">
        <v>1257</v>
      </c>
      <c r="J3" s="364" t="s">
        <v>216</v>
      </c>
      <c r="L3" s="223"/>
      <c r="M3" s="207">
        <v>2015</v>
      </c>
      <c r="N3" s="207">
        <v>2014</v>
      </c>
      <c r="O3" s="207">
        <v>2013</v>
      </c>
      <c r="P3" s="207">
        <v>2012</v>
      </c>
    </row>
    <row r="4" spans="1:17" ht="15" customHeight="1" thickBot="1">
      <c r="B4" s="485" t="s">
        <v>1255</v>
      </c>
      <c r="C4" s="485"/>
      <c r="D4" s="208"/>
      <c r="E4" s="208"/>
      <c r="F4" s="224"/>
      <c r="G4" s="485" t="s">
        <v>1423</v>
      </c>
      <c r="H4" s="485"/>
      <c r="I4" s="485" t="s">
        <v>1328</v>
      </c>
      <c r="J4" s="485"/>
      <c r="L4" s="209" t="s">
        <v>217</v>
      </c>
      <c r="M4" s="369">
        <f>VLOOKUP("Total shareholding of Promoter and Promoter Group (A)",Data!$G$2:$L$37,2,FALSE)</f>
        <v>61.69</v>
      </c>
      <c r="N4" s="369">
        <f>VLOOKUP("Total shareholding of Promoter and Promoter Group (A)",Data!$G$2:$L$37,3,FALSE)</f>
        <v>61.73</v>
      </c>
      <c r="O4" s="369">
        <f>VLOOKUP("Total shareholding of Promoter and Promoter Group (A)",Data!$G$2:$L$37,4,FALSE)</f>
        <v>62.01</v>
      </c>
      <c r="P4" s="369">
        <f>VLOOKUP("Total shareholding of Promoter and Promoter Group (A)",Data!$G$2:$L$37,5,FALSE)</f>
        <v>63.34</v>
      </c>
    </row>
    <row r="5" spans="1:17" ht="18.75" customHeight="1" thickBot="1">
      <c r="B5" s="484" t="s">
        <v>229</v>
      </c>
      <c r="C5" s="484"/>
      <c r="D5" s="484"/>
      <c r="E5" s="484"/>
      <c r="F5" s="224"/>
      <c r="G5" s="484" t="s">
        <v>1326</v>
      </c>
      <c r="H5" s="484"/>
      <c r="I5" s="484"/>
      <c r="J5" s="484"/>
      <c r="L5" s="209" t="s">
        <v>218</v>
      </c>
      <c r="M5" s="369">
        <f>SUM(VLOOKUP("Foreign Institutional Investors",Data!$G$2:$L$37,2,FALSE),0)</f>
        <v>19.32</v>
      </c>
      <c r="N5" s="369">
        <f>SUM(VLOOKUP("Foreign Institutional Investors",Data!$G$2:$L$37,3,FALSE),,0)</f>
        <v>20.95</v>
      </c>
      <c r="O5" s="369">
        <f>SUM(VLOOKUP("Foreign Institutional Investors",Data!$G$2:$L$37,4,FALSE),0)</f>
        <v>20.64</v>
      </c>
      <c r="P5" s="369">
        <v>17.739999999999998</v>
      </c>
    </row>
    <row r="6" spans="1:17" ht="15" customHeight="1" thickBot="1">
      <c r="B6" s="210" t="s">
        <v>1381</v>
      </c>
      <c r="C6" s="211">
        <v>2015</v>
      </c>
      <c r="D6" s="318">
        <v>2014</v>
      </c>
      <c r="E6" s="318">
        <v>2013</v>
      </c>
      <c r="F6" s="224"/>
      <c r="G6" s="474" t="str">
        <f>Template_P4!M24</f>
        <v>ACC</v>
      </c>
      <c r="H6" s="474"/>
      <c r="I6" s="474" t="str">
        <f>Template_P4!N24</f>
        <v>Ambuja Cem.</v>
      </c>
      <c r="J6" s="474"/>
      <c r="L6" s="209" t="s">
        <v>219</v>
      </c>
      <c r="M6" s="369">
        <f>25.18-M5</f>
        <v>5.8599999999999994</v>
      </c>
      <c r="N6" s="369">
        <f>25.86-N5</f>
        <v>4.91</v>
      </c>
      <c r="O6" s="369">
        <f>25.26-O5</f>
        <v>4.620000000000001</v>
      </c>
      <c r="P6" s="369">
        <f>23.19-P5</f>
        <v>5.4500000000000028</v>
      </c>
    </row>
    <row r="7" spans="1:17" ht="15" customHeight="1">
      <c r="B7" s="212" t="s">
        <v>220</v>
      </c>
      <c r="C7" s="413">
        <f>VALUE(TEXT(VLOOKUP($B7,Data!$N$4:$S$23,2,0),"#,###.##"))</f>
        <v>22936.17</v>
      </c>
      <c r="D7" s="413">
        <f>VALUE(TEXT(VLOOKUP($B7,Data!$N$4:$S$23,3,0),"#,###.##"))</f>
        <v>20279.8</v>
      </c>
      <c r="E7" s="413">
        <f>VALUE(TEXT(VLOOKUP($B7,Data!$N$4:$S$23,4,0),"#,###.##"))</f>
        <v>20174.939999999999</v>
      </c>
      <c r="F7" s="415"/>
      <c r="G7" s="475">
        <f>VALUE(TEXT(VLOOKUP($B7,Data!$N$4:$S$23,5,0),"#,###.##"))</f>
        <v>11738.21</v>
      </c>
      <c r="H7" s="476">
        <v>20174.939999999999</v>
      </c>
      <c r="I7" s="475">
        <f>VALUE(TEXT(VLOOKUP($B7,Data!$N$4:$S$23,6,0),"#,###.##"))</f>
        <v>9978.1200000000008</v>
      </c>
      <c r="J7" s="476">
        <v>20174.939999999999</v>
      </c>
      <c r="L7" s="209" t="s">
        <v>221</v>
      </c>
      <c r="M7" s="369">
        <f>100-SUM(M4:M6)</f>
        <v>13.13000000000001</v>
      </c>
      <c r="N7" s="369">
        <f>100-SUM(N4:N6)</f>
        <v>12.410000000000011</v>
      </c>
      <c r="O7" s="369">
        <f>100-SUM(O4:O6)</f>
        <v>12.72999999999999</v>
      </c>
      <c r="P7" s="369">
        <f>100-SUM(P4:P6)</f>
        <v>13.469999999999999</v>
      </c>
    </row>
    <row r="8" spans="1:17" ht="15" customHeight="1">
      <c r="B8" s="213" t="s">
        <v>222</v>
      </c>
      <c r="C8" s="416">
        <f>VALUE(VLOOKUP($B8,Data!$N$4:$S$23,2,0))</f>
        <v>371.78</v>
      </c>
      <c r="D8" s="416">
        <f>VALUE(VLOOKUP($B8,Data!$N$4:$S$23,3,0))</f>
        <v>329.04</v>
      </c>
      <c r="E8" s="417">
        <f>VALUE(VLOOKUP($B8,Data!$N$4:$S$23,4,0))</f>
        <v>305</v>
      </c>
      <c r="F8" s="415"/>
      <c r="G8" s="477">
        <f>VALUE(VLOOKUP($B8,Data!$N$4:$S$23,5,0))</f>
        <v>268.27999999999997</v>
      </c>
      <c r="H8" s="478">
        <v>305</v>
      </c>
      <c r="I8" s="479">
        <f>VALUE(VLOOKUP($B8,Data!$N$4:$S$23,6,0))</f>
        <v>428.98</v>
      </c>
      <c r="J8" s="477">
        <v>305</v>
      </c>
    </row>
    <row r="9" spans="1:17" ht="15" customHeight="1">
      <c r="B9" s="212" t="s">
        <v>223</v>
      </c>
      <c r="C9" s="414">
        <f>VALUE(IFERROR(TEXT(IF(ISNUMBER(C8),C8,0)+C7,"#,###.##"),0))</f>
        <v>23307.95</v>
      </c>
      <c r="D9" s="414">
        <f>VALUE(IFERROR(TEXT(IF(ISNUMBER(D8),D8,0)+D7,"#,###.##"),0))</f>
        <v>20608.84</v>
      </c>
      <c r="E9" s="414">
        <f>VALUE(IFERROR(TEXT(IF(ISNUMBER(E8),E8,0)+E7,"#,###.##"),0))</f>
        <v>20479.939999999999</v>
      </c>
      <c r="F9" s="415"/>
      <c r="G9" s="475">
        <f>VALUE(IFERROR(IF(ISNUMBER(G8),G8,0)+G7,0))</f>
        <v>12006.49</v>
      </c>
      <c r="H9" s="476">
        <f t="shared" ref="H9:J9" si="0">H8+H7</f>
        <v>20479.939999999999</v>
      </c>
      <c r="I9" s="480">
        <f>VALUE(IFERROR(IF(ISNUMBER(I8),I8,0)+I7,0))</f>
        <v>10407.1</v>
      </c>
      <c r="J9" s="475">
        <f t="shared" si="0"/>
        <v>20479.939999999999</v>
      </c>
      <c r="L9" s="209" t="s">
        <v>224</v>
      </c>
      <c r="M9" s="214"/>
      <c r="O9" s="209" t="s">
        <v>225</v>
      </c>
      <c r="P9" s="209"/>
    </row>
    <row r="10" spans="1:17" ht="15" customHeight="1">
      <c r="B10" s="213" t="s">
        <v>787</v>
      </c>
      <c r="C10" s="416">
        <f>VALUE(TEXT(VLOOKUP($B10,Data!$N$4:$S$23,2,0),"#,###.##"))</f>
        <v>4019.36</v>
      </c>
      <c r="D10" s="416">
        <f>VALUE(TEXT(VLOOKUP($B10,Data!$N$4:$S$23,3,0),"#,###.##"))</f>
        <v>3827.77</v>
      </c>
      <c r="E10" s="416">
        <f>VALUE(TEXT(VLOOKUP($B10,Data!$N$4:$S$23,4,0),"#,###.##"))</f>
        <v>4770.7700000000004</v>
      </c>
      <c r="F10" s="415"/>
      <c r="G10" s="481">
        <f>VALUE(TEXT(VLOOKUP($B10,Data!$N$4:$S$23,5,0),"#,###.##"))</f>
        <v>1692.78</v>
      </c>
      <c r="H10" s="482">
        <v>4770.7700000000004</v>
      </c>
      <c r="I10" s="483">
        <f>VALUE(TEXT(VLOOKUP($B10,Data!$N$4:$S$23,6,0),"#,###.##"))</f>
        <v>2292.94</v>
      </c>
      <c r="J10" s="481">
        <v>4770.7700000000004</v>
      </c>
      <c r="L10" s="225" t="s">
        <v>226</v>
      </c>
      <c r="M10" s="225" t="s">
        <v>130</v>
      </c>
      <c r="O10" s="225" t="s">
        <v>226</v>
      </c>
      <c r="P10" s="316" t="s">
        <v>130</v>
      </c>
    </row>
    <row r="11" spans="1:17" ht="15" customHeight="1">
      <c r="B11" s="212" t="s">
        <v>788</v>
      </c>
      <c r="C11" s="413">
        <f>VALUE(TEXT(VLOOKUP($B11,Data!$N$4:$S$23,2,0),"#,###.##"))</f>
        <v>2014.73</v>
      </c>
      <c r="D11" s="413">
        <f>VALUE(TEXT(VLOOKUP($B11,Data!$N$4:$S$23,3,0),"#,###.##"))</f>
        <v>2144.4699999999998</v>
      </c>
      <c r="E11" s="414">
        <f>VALUE(TEXT(VLOOKUP($B11,Data!$N$4:$S$23,4,0),"#,###.##"))</f>
        <v>2655.43</v>
      </c>
      <c r="F11" s="415"/>
      <c r="G11" s="475">
        <f>VALUE(TEXT(VLOOKUP($B11,Data!$N$4:$S$23,5,0),"#,###.##"))</f>
        <v>1168.29</v>
      </c>
      <c r="H11" s="476">
        <v>2655.43</v>
      </c>
      <c r="I11" s="480">
        <f>VALUE(TEXT(VLOOKUP($B11,Data!$N$4:$S$23,6,0),"#,###.##"))</f>
        <v>1496.36</v>
      </c>
      <c r="J11" s="475">
        <v>2655.43</v>
      </c>
      <c r="K11" s="132"/>
      <c r="L11" s="141" t="s">
        <v>882</v>
      </c>
      <c r="M11" s="141">
        <f>SUMIF(Data!$A$4:$A$35,L11,Data!$B$4:$B$35)</f>
        <v>6.12</v>
      </c>
      <c r="N11" s="132"/>
      <c r="O11" s="141" t="s">
        <v>882</v>
      </c>
      <c r="P11" s="141">
        <f>SUMIF(Data!$D$4:$D$35,O11,Data!$E$4:$E$35)</f>
        <v>61.69</v>
      </c>
      <c r="Q11" s="132"/>
    </row>
    <row r="12" spans="1:17" ht="15" customHeight="1">
      <c r="B12" s="213" t="s">
        <v>789</v>
      </c>
      <c r="C12" s="416">
        <f>VALUE(TEXT(VLOOKUP($B12,Data!$N$4:$S$23,2,0),"#,###.00"))</f>
        <v>73.44</v>
      </c>
      <c r="D12" s="416">
        <f>VALUE(TEXT(VLOOKUP($B12,Data!$N$4:$S$23,3,0),"#,###.00"))</f>
        <v>78.209999999999994</v>
      </c>
      <c r="E12" s="417">
        <f>VALUE(TEXT(VLOOKUP($B12,Data!$N$4:$S$23,4,0),"#,###.00"))</f>
        <v>96.87</v>
      </c>
      <c r="F12" s="415"/>
      <c r="G12" s="481">
        <f>VALUE(TEXT(VLOOKUP($B12,Data!$N$4:$S$23,5,0),"#,###.00"))</f>
        <v>62.23</v>
      </c>
      <c r="H12" s="482">
        <v>96.87</v>
      </c>
      <c r="I12" s="483">
        <f>VALUE(TEXT(VLOOKUP($B12,Data!$N$4:$S$23,6,0),"#,###.00"))</f>
        <v>9.67</v>
      </c>
      <c r="J12" s="481">
        <v>96.87</v>
      </c>
      <c r="K12" s="132"/>
      <c r="L12" s="141" t="s">
        <v>1424</v>
      </c>
      <c r="M12" s="141">
        <f>SUMIF(Data!$A$4:$A$35,L12,Data!$B$4:$B$35)</f>
        <v>2.17</v>
      </c>
      <c r="N12" s="132"/>
      <c r="O12" s="141" t="s">
        <v>1432</v>
      </c>
      <c r="P12" s="141">
        <f>SUMIF(Data!$D$4:$D$35,O12,Data!$E$4:$E$35)</f>
        <v>60.25</v>
      </c>
      <c r="Q12" s="132"/>
    </row>
    <row r="13" spans="1:17" ht="15" customHeight="1">
      <c r="B13" s="212" t="s">
        <v>1382</v>
      </c>
      <c r="C13" s="212">
        <v>9</v>
      </c>
      <c r="D13" s="212">
        <f>VALUE(VLOOKUP(D6,Data!$A$103:$B$107,2,FALSE))</f>
        <v>9</v>
      </c>
      <c r="E13" s="212">
        <f>VALUE(VLOOKUP(E6,Data!$A$103:$B$107,2,FALSE))</f>
        <v>9</v>
      </c>
      <c r="F13" s="415"/>
      <c r="G13" s="486">
        <v>5</v>
      </c>
      <c r="H13" s="487"/>
      <c r="I13" s="486">
        <v>5</v>
      </c>
      <c r="J13" s="487"/>
      <c r="K13" s="132"/>
      <c r="L13" s="141" t="s">
        <v>1427</v>
      </c>
      <c r="M13" s="141">
        <f>SUMIF(Data!$A$4:$A$35,L13,Data!$B$4:$B$35)</f>
        <v>1.41</v>
      </c>
      <c r="N13" s="132"/>
      <c r="O13" s="141" t="s">
        <v>1448</v>
      </c>
      <c r="P13" s="141">
        <f>SUMIF(Data!$D$4:$D$35,O13,Data!$E$4:$E$35)</f>
        <v>0.64</v>
      </c>
      <c r="Q13" s="132"/>
    </row>
    <row r="14" spans="1:17" ht="15" customHeight="1">
      <c r="B14" s="213" t="s">
        <v>227</v>
      </c>
      <c r="C14" s="366">
        <f>VALUE(TEXT(IF(ISNUMBER(C13/C12),(C13/C12)*116.23,"--"),"0.00"))</f>
        <v>14.24</v>
      </c>
      <c r="D14" s="366">
        <f>VALUE(TEXT(IF(ISNUMBER(D13/D12),(D13/D12)*116.23,"--"),"0.00"))</f>
        <v>13.38</v>
      </c>
      <c r="E14" s="366">
        <f>VALUE(TEXT(IF(ISNUMBER(E13/E12),(E13/E12)*116.23,"--"),"0.00"))</f>
        <v>10.8</v>
      </c>
      <c r="F14" s="367"/>
      <c r="G14" s="488">
        <f>VALUE(TEXT(IF(ISNUMBER(G13/G12),(G13/G12)*116.23,"--"),"0.00"))</f>
        <v>9.34</v>
      </c>
      <c r="H14" s="489"/>
      <c r="I14" s="490">
        <f>VALUE(TEXT(IF(ISNUMBER(I13/I12),(I13/I12)*116.23,"--"),"0.00"))</f>
        <v>60.1</v>
      </c>
      <c r="J14" s="489"/>
      <c r="K14" s="132"/>
      <c r="L14" s="141" t="s">
        <v>1435</v>
      </c>
      <c r="M14" s="141">
        <f>SUMIF(Data!$A$4:$A$35,L14,Data!$B$4:$B$35)</f>
        <v>1.36</v>
      </c>
      <c r="N14" s="132"/>
      <c r="O14" s="141" t="s">
        <v>1449</v>
      </c>
      <c r="P14" s="141">
        <f>SUMIF(Data!$D$4:$D$35,O14,Data!$E$4:$E$35)</f>
        <v>0.48</v>
      </c>
      <c r="Q14" s="132"/>
    </row>
    <row r="15" spans="1:17" ht="15" customHeight="1">
      <c r="B15" s="212" t="s">
        <v>790</v>
      </c>
      <c r="C15" s="359">
        <f>VALUE(TEXT(VLOOKUP($B15,Data!$N$4:$S$23,2,0),"#,###.00"))</f>
        <v>19.91</v>
      </c>
      <c r="D15" s="359">
        <f>VALUE(TEXT(VLOOKUP($B15,Data!$N$4:$S$23,3,0),"#,###.00"))</f>
        <v>20.45</v>
      </c>
      <c r="E15" s="359">
        <f>VALUE(TEXT(VLOOKUP($B15,Data!$N$4:$S$23,4,0),"#,###.00"))</f>
        <v>24.69</v>
      </c>
      <c r="F15" s="365"/>
      <c r="G15" s="491">
        <f>VALUE(TEXT(VLOOKUP($B15,Data!$N$4:$S$23,5,0),"#,###.00"))</f>
        <v>15.13</v>
      </c>
      <c r="H15" s="492">
        <v>24.69</v>
      </c>
      <c r="I15" s="493">
        <f>VALUE(TEXT(VLOOKUP($B15,Data!$N$4:$S$23,6,0),"#,###.00"))</f>
        <v>23.63</v>
      </c>
      <c r="J15" s="491">
        <v>24.69</v>
      </c>
      <c r="K15" s="132"/>
      <c r="L15" s="141" t="s">
        <v>1431</v>
      </c>
      <c r="M15" s="141">
        <f>SUMIF(Data!$A$4:$A$35,L15,Data!$B$4:$B$35)</f>
        <v>1.17</v>
      </c>
      <c r="N15" s="132"/>
      <c r="O15" s="141" t="s">
        <v>1445</v>
      </c>
      <c r="P15" s="141">
        <f>SUMIF(Data!$D$4:$D$35,O15,Data!$E$4:$E$35)</f>
        <v>0.28999999999999998</v>
      </c>
      <c r="Q15" s="132"/>
    </row>
    <row r="16" spans="1:17" ht="15" customHeight="1" thickBot="1">
      <c r="B16" s="206" t="s">
        <v>822</v>
      </c>
      <c r="C16" s="368">
        <f>VALUE(TEXT(VLOOKUP($B16,Data!$N$4:$S$23,2,0),"#,###.00"))</f>
        <v>8.7799999999999994</v>
      </c>
      <c r="D16" s="368">
        <f>VALUE(TEXT(VLOOKUP($B16,Data!$N$4:$S$23,3,0),"#,###.00"))</f>
        <v>10.57</v>
      </c>
      <c r="E16" s="368">
        <f>VALUE(TEXT(VLOOKUP($B16,Data!$N$4:$S$23,4,0),"#,###.00"))</f>
        <v>13.16</v>
      </c>
      <c r="F16" s="365"/>
      <c r="G16" s="494">
        <f>VALUE(TEXT(VLOOKUP($B16,Data!$N$4:$S$23,5,0),"#,###.00"))</f>
        <v>9.9499999999999993</v>
      </c>
      <c r="H16" s="495">
        <v>13.16</v>
      </c>
      <c r="I16" s="496">
        <f>VALUE(TEXT(VLOOKUP($B16,Data!$N$4:$S$23,6,0),"#,###.00"))</f>
        <v>15</v>
      </c>
      <c r="J16" s="494"/>
      <c r="K16" s="132"/>
      <c r="L16" s="141"/>
      <c r="M16" s="141"/>
      <c r="N16" s="132"/>
      <c r="O16" s="141" t="s">
        <v>1436</v>
      </c>
      <c r="P16" s="141">
        <f>SUMIF(Data!$D$4:$D$35,O16,Data!$E$4:$E$35)</f>
        <v>0.02</v>
      </c>
      <c r="Q16" s="132"/>
    </row>
    <row r="17" spans="2:17" ht="15" customHeight="1" thickBot="1">
      <c r="B17" s="299" t="s">
        <v>1254</v>
      </c>
      <c r="C17" s="226"/>
      <c r="D17" s="226"/>
      <c r="E17" s="226"/>
      <c r="F17" s="226"/>
      <c r="G17" s="226"/>
      <c r="H17" s="226"/>
      <c r="I17" s="226"/>
      <c r="J17" s="226"/>
      <c r="K17" s="132"/>
      <c r="L17"/>
      <c r="M17"/>
      <c r="N17" s="132"/>
      <c r="O17" s="141" t="s">
        <v>1425</v>
      </c>
      <c r="P17" s="141">
        <f>SUMIF(Data!$D$4:$D$35,O17,Data!$E$4:$E$35)</f>
        <v>0</v>
      </c>
      <c r="Q17" s="132"/>
    </row>
    <row r="18" spans="2:17" ht="18.75" customHeight="1" thickBot="1">
      <c r="B18" s="458" t="s">
        <v>1318</v>
      </c>
      <c r="C18" s="458"/>
      <c r="D18" s="458"/>
      <c r="E18" s="458"/>
      <c r="G18" s="458" t="s">
        <v>1319</v>
      </c>
      <c r="H18" s="458"/>
      <c r="I18" s="458"/>
      <c r="J18" s="458"/>
      <c r="K18" s="132"/>
      <c r="L18"/>
      <c r="M18"/>
      <c r="N18" s="132"/>
      <c r="O18" s="141" t="s">
        <v>1428</v>
      </c>
      <c r="P18" s="141">
        <f>SUMIF(Data!$D$4:$D$35,O18,Data!$E$4:$E$35)</f>
        <v>0</v>
      </c>
      <c r="Q18" s="132"/>
    </row>
    <row r="19" spans="2:17" ht="15" customHeight="1">
      <c r="B19" s="459" t="str">
        <f t="shared" ref="B19" si="1">LEFT(IF(OR(L12="",L12="Total"),"",L12),40)</f>
        <v>Life Insurance Corporation of India</v>
      </c>
      <c r="C19" s="459"/>
      <c r="D19" s="459"/>
      <c r="E19" s="401">
        <f>M12</f>
        <v>2.17</v>
      </c>
      <c r="F19" s="219" t="s">
        <v>214</v>
      </c>
      <c r="G19" s="459" t="str">
        <f>LEFT(IF(OR(O12="",O12="Total")," ",O12),35)</f>
        <v>Grasim Industries Ltd</v>
      </c>
      <c r="H19" s="459"/>
      <c r="I19" s="473"/>
      <c r="J19" s="402">
        <f>P12</f>
        <v>60.25</v>
      </c>
      <c r="K19" s="132"/>
      <c r="L19"/>
      <c r="M19"/>
      <c r="N19" s="132"/>
      <c r="O19" s="141" t="s">
        <v>1439</v>
      </c>
      <c r="P19" s="141">
        <f>SUMIF(Data!$D$4:$D$35,O19,Data!$E$4:$E$35)</f>
        <v>0</v>
      </c>
      <c r="Q19" s="132"/>
    </row>
    <row r="20" spans="2:17" ht="15" customHeight="1">
      <c r="B20" s="460" t="str">
        <f t="shared" ref="B20:B25" si="2">LEFT(IF(OR(L13="",L13="Total"),"",L13),40)</f>
        <v>Oppenheimer Developing Markets Fund</v>
      </c>
      <c r="C20" s="460"/>
      <c r="D20" s="461"/>
      <c r="E20" s="386">
        <f>M13</f>
        <v>1.41</v>
      </c>
      <c r="F20" s="219" t="s">
        <v>214</v>
      </c>
      <c r="G20" s="460" t="str">
        <f t="shared" ref="G20:G25" si="3">LEFT(IF(OR(O13="",O13="Total"),"",O13),35)</f>
        <v>Turquoise Investments And Finance P</v>
      </c>
      <c r="H20" s="460"/>
      <c r="I20" s="461"/>
      <c r="J20" s="403">
        <f t="shared" ref="J20:J25" si="4">P13</f>
        <v>0.64</v>
      </c>
      <c r="K20" s="132"/>
      <c r="L20"/>
      <c r="M20"/>
      <c r="N20" s="132"/>
      <c r="O20" s="141" t="s">
        <v>1443</v>
      </c>
      <c r="P20" s="141">
        <f>SUMIF(Data!$D$4:$D$35,O20,Data!$E$4:$E$35)</f>
        <v>0</v>
      </c>
      <c r="Q20" s="132"/>
    </row>
    <row r="21" spans="2:17" ht="15" customHeight="1">
      <c r="B21" s="462" t="str">
        <f t="shared" si="2"/>
        <v>Aberdeen Emerging Markets Fund</v>
      </c>
      <c r="C21" s="462"/>
      <c r="D21" s="463"/>
      <c r="E21" s="387">
        <f t="shared" ref="E21:E25" si="5">M14</f>
        <v>1.36</v>
      </c>
      <c r="F21" s="219" t="s">
        <v>214</v>
      </c>
      <c r="G21" s="462" t="str">
        <f t="shared" si="3"/>
        <v>Hindalco Industries Ltd</v>
      </c>
      <c r="H21" s="462"/>
      <c r="I21" s="463"/>
      <c r="J21" s="404">
        <f t="shared" si="4"/>
        <v>0.48</v>
      </c>
      <c r="K21" s="132"/>
      <c r="L21"/>
      <c r="M21"/>
      <c r="N21" s="132"/>
      <c r="O21" s="141" t="s">
        <v>1447</v>
      </c>
      <c r="P21" s="141">
        <f>SUMIF(Data!$D$4:$D$35,O21,Data!$E$4:$E$35)</f>
        <v>0</v>
      </c>
      <c r="Q21" s="132"/>
    </row>
    <row r="22" spans="2:17" ht="15" customHeight="1">
      <c r="B22" s="460" t="str">
        <f t="shared" si="2"/>
        <v xml:space="preserve">Aberdeen Global Emerging Markets Equity </v>
      </c>
      <c r="C22" s="460"/>
      <c r="D22" s="461"/>
      <c r="E22" s="386">
        <f t="shared" si="5"/>
        <v>1.17</v>
      </c>
      <c r="F22" s="219" t="s">
        <v>214</v>
      </c>
      <c r="G22" s="460" t="str">
        <f t="shared" si="3"/>
        <v>Trapti Trading &amp; Investments Pvt Lt</v>
      </c>
      <c r="H22" s="460"/>
      <c r="I22" s="461"/>
      <c r="J22" s="403">
        <f t="shared" si="4"/>
        <v>0.28999999999999998</v>
      </c>
      <c r="K22" s="132"/>
      <c r="L22"/>
      <c r="M22"/>
      <c r="N22" s="132"/>
      <c r="O22" s="141" t="s">
        <v>1451</v>
      </c>
      <c r="P22" s="141">
        <f>SUMIF(Data!$D$4:$D$35,O22,Data!$E$4:$E$35)</f>
        <v>0</v>
      </c>
      <c r="Q22" s="132"/>
    </row>
    <row r="23" spans="2:17" ht="15" customHeight="1">
      <c r="B23" s="462" t="str">
        <f t="shared" si="2"/>
        <v/>
      </c>
      <c r="C23" s="462"/>
      <c r="D23" s="463"/>
      <c r="E23" s="387">
        <f t="shared" si="5"/>
        <v>0</v>
      </c>
      <c r="F23" s="219" t="s">
        <v>214</v>
      </c>
      <c r="G23" s="462" t="str">
        <f t="shared" si="3"/>
        <v>Rajashree Birla</v>
      </c>
      <c r="H23" s="462"/>
      <c r="I23" s="463"/>
      <c r="J23" s="404">
        <f t="shared" si="4"/>
        <v>0.02</v>
      </c>
      <c r="K23" s="132"/>
      <c r="L23"/>
      <c r="M23"/>
      <c r="N23" s="132"/>
      <c r="O23" s="141" t="s">
        <v>1453</v>
      </c>
      <c r="P23" s="141">
        <f>SUMIF(Data!$D$4:$D$35,O23,Data!$E$4:$E$35)</f>
        <v>0</v>
      </c>
      <c r="Q23" s="132"/>
    </row>
    <row r="24" spans="2:17" ht="15" customHeight="1">
      <c r="B24" s="460" t="str">
        <f t="shared" si="2"/>
        <v/>
      </c>
      <c r="C24" s="460"/>
      <c r="D24" s="461"/>
      <c r="E24" s="386">
        <f t="shared" si="5"/>
        <v>0</v>
      </c>
      <c r="F24" s="219" t="s">
        <v>214</v>
      </c>
      <c r="G24" s="460" t="str">
        <f t="shared" si="3"/>
        <v>Kumar Mangalam Birla</v>
      </c>
      <c r="H24" s="460"/>
      <c r="I24" s="461"/>
      <c r="J24" s="403">
        <f t="shared" si="4"/>
        <v>0</v>
      </c>
      <c r="K24" s="132"/>
      <c r="L24"/>
      <c r="M24"/>
      <c r="N24" s="132"/>
      <c r="O24" s="141" t="s">
        <v>1455</v>
      </c>
      <c r="P24" s="141">
        <f>SUMIF(Data!$D$4:$D$35,O24,Data!$E$4:$E$35)</f>
        <v>0</v>
      </c>
      <c r="Q24" s="132"/>
    </row>
    <row r="25" spans="2:17" ht="15" customHeight="1" thickBot="1">
      <c r="B25" s="469" t="str">
        <f t="shared" si="2"/>
        <v/>
      </c>
      <c r="C25" s="469"/>
      <c r="D25" s="470"/>
      <c r="E25" s="218">
        <f t="shared" si="5"/>
        <v>0</v>
      </c>
      <c r="F25" s="219" t="s">
        <v>214</v>
      </c>
      <c r="G25" s="469" t="str">
        <f t="shared" si="3"/>
        <v>Aditya Vikram Kumarmangalam Birla H</v>
      </c>
      <c r="H25" s="469"/>
      <c r="I25" s="470"/>
      <c r="J25" s="218">
        <f t="shared" si="4"/>
        <v>0</v>
      </c>
      <c r="K25" s="132"/>
      <c r="L25"/>
      <c r="M25"/>
      <c r="N25" s="132"/>
      <c r="O25" s="141"/>
      <c r="P25" s="141"/>
      <c r="Q25" s="132"/>
    </row>
    <row r="26" spans="2:17" s="300" customFormat="1" ht="15" customHeight="1" thickBot="1">
      <c r="B26" s="271" t="s">
        <v>214</v>
      </c>
      <c r="C26" s="271"/>
      <c r="D26" s="271"/>
      <c r="E26" s="271"/>
      <c r="G26" s="271"/>
      <c r="H26" s="271"/>
      <c r="I26" s="271"/>
      <c r="J26" s="271"/>
      <c r="K26" s="301"/>
      <c r="L26"/>
      <c r="M26"/>
      <c r="N26" s="301"/>
      <c r="O26"/>
      <c r="P26"/>
      <c r="Q26" s="301"/>
    </row>
    <row r="27" spans="2:17" ht="18.75" customHeight="1" thickBot="1">
      <c r="B27" s="458" t="s">
        <v>1327</v>
      </c>
      <c r="C27" s="458"/>
      <c r="D27" s="458"/>
      <c r="E27" s="458"/>
      <c r="G27" s="227" t="s">
        <v>819</v>
      </c>
      <c r="H27" s="227"/>
      <c r="I27" s="227"/>
      <c r="J27" s="227"/>
      <c r="K27" s="132"/>
      <c r="L27"/>
      <c r="M27"/>
      <c r="N27" s="132"/>
      <c r="O27"/>
      <c r="P27"/>
      <c r="Q27" s="132"/>
    </row>
    <row r="28" spans="2:17" ht="15" customHeight="1">
      <c r="B28" s="471" t="s">
        <v>214</v>
      </c>
      <c r="C28" s="471"/>
      <c r="D28" s="471"/>
      <c r="E28" s="471"/>
      <c r="F28" s="467"/>
      <c r="G28" s="464"/>
      <c r="H28" s="464"/>
      <c r="I28" s="464"/>
      <c r="J28" s="464"/>
      <c r="K28" s="132"/>
      <c r="L28"/>
      <c r="M28"/>
      <c r="N28" s="132"/>
      <c r="O28"/>
      <c r="P28"/>
      <c r="Q28" s="132"/>
    </row>
    <row r="29" spans="2:17" ht="15" customHeight="1">
      <c r="B29" s="471"/>
      <c r="C29" s="471"/>
      <c r="D29" s="471"/>
      <c r="E29" s="471"/>
      <c r="F29" s="467"/>
      <c r="G29" s="465"/>
      <c r="H29" s="465"/>
      <c r="I29" s="465"/>
      <c r="J29" s="465"/>
      <c r="K29" s="132"/>
      <c r="L29"/>
      <c r="M29"/>
      <c r="N29" s="132"/>
      <c r="O29"/>
      <c r="P29"/>
      <c r="Q29" s="132"/>
    </row>
    <row r="30" spans="2:17" ht="15" customHeight="1">
      <c r="B30" s="471"/>
      <c r="C30" s="471"/>
      <c r="D30" s="471"/>
      <c r="E30" s="471"/>
      <c r="F30" s="467"/>
      <c r="G30" s="465"/>
      <c r="H30" s="465"/>
      <c r="I30" s="465"/>
      <c r="J30" s="465"/>
      <c r="K30" s="132"/>
      <c r="L30"/>
      <c r="M30"/>
      <c r="N30" s="132"/>
      <c r="O30"/>
      <c r="P30"/>
      <c r="Q30" s="132"/>
    </row>
    <row r="31" spans="2:17" ht="15" customHeight="1">
      <c r="B31" s="471"/>
      <c r="C31" s="471"/>
      <c r="D31" s="471"/>
      <c r="E31" s="471"/>
      <c r="F31" s="467"/>
      <c r="G31" s="465"/>
      <c r="H31" s="465"/>
      <c r="I31" s="465"/>
      <c r="J31" s="465"/>
      <c r="K31" s="132"/>
      <c r="L31"/>
      <c r="M31"/>
      <c r="N31" s="132"/>
      <c r="O31"/>
      <c r="P31"/>
      <c r="Q31" s="132"/>
    </row>
    <row r="32" spans="2:17" ht="15" customHeight="1">
      <c r="B32" s="471"/>
      <c r="C32" s="471"/>
      <c r="D32" s="471"/>
      <c r="E32" s="471"/>
      <c r="F32" s="467"/>
      <c r="G32" s="465"/>
      <c r="H32" s="465"/>
      <c r="I32" s="465"/>
      <c r="J32" s="465"/>
      <c r="K32" s="132"/>
      <c r="L32"/>
      <c r="M32"/>
      <c r="N32" s="132"/>
      <c r="O32"/>
      <c r="P32"/>
      <c r="Q32" s="132"/>
    </row>
    <row r="33" spans="2:17" ht="15" customHeight="1">
      <c r="B33" s="471"/>
      <c r="C33" s="471"/>
      <c r="D33" s="471"/>
      <c r="E33" s="471"/>
      <c r="F33" s="467"/>
      <c r="G33" s="465"/>
      <c r="H33" s="465"/>
      <c r="I33" s="465"/>
      <c r="J33" s="465"/>
      <c r="K33" s="132"/>
      <c r="L33"/>
      <c r="M33"/>
      <c r="N33" s="132"/>
      <c r="O33"/>
      <c r="P33"/>
      <c r="Q33" s="132"/>
    </row>
    <row r="34" spans="2:17" ht="15" customHeight="1">
      <c r="B34" s="471"/>
      <c r="C34" s="471"/>
      <c r="D34" s="471"/>
      <c r="E34" s="471"/>
      <c r="F34" s="467"/>
      <c r="G34" s="465"/>
      <c r="H34" s="465"/>
      <c r="I34" s="465"/>
      <c r="J34" s="465"/>
      <c r="K34" s="132"/>
      <c r="L34"/>
      <c r="M34"/>
      <c r="N34" s="132"/>
      <c r="O34"/>
      <c r="P34"/>
    </row>
    <row r="35" spans="2:17" ht="15" customHeight="1">
      <c r="B35" s="471"/>
      <c r="C35" s="471"/>
      <c r="D35" s="471"/>
      <c r="E35" s="471"/>
      <c r="F35" s="467"/>
      <c r="G35" s="465"/>
      <c r="H35" s="465"/>
      <c r="I35" s="465"/>
      <c r="J35" s="465"/>
      <c r="K35" s="132"/>
      <c r="L35"/>
      <c r="M35"/>
      <c r="N35" s="132"/>
      <c r="O35"/>
      <c r="P35"/>
    </row>
    <row r="36" spans="2:17" ht="15" customHeight="1">
      <c r="B36" s="471"/>
      <c r="C36" s="471"/>
      <c r="D36" s="471"/>
      <c r="E36" s="471"/>
      <c r="F36" s="467"/>
      <c r="G36" s="465"/>
      <c r="H36" s="465"/>
      <c r="I36" s="465"/>
      <c r="J36" s="465"/>
      <c r="K36" s="132"/>
      <c r="L36"/>
      <c r="M36"/>
      <c r="N36" s="132"/>
      <c r="O36"/>
      <c r="P36"/>
    </row>
    <row r="37" spans="2:17" ht="15" customHeight="1">
      <c r="B37" s="472"/>
      <c r="C37" s="472"/>
      <c r="D37" s="472"/>
      <c r="E37" s="472"/>
      <c r="F37" s="468"/>
      <c r="G37" s="466"/>
      <c r="H37" s="466"/>
      <c r="I37" s="466"/>
      <c r="J37" s="466"/>
      <c r="K37" s="132"/>
      <c r="L37"/>
      <c r="M37"/>
      <c r="N37" s="132"/>
      <c r="O37"/>
      <c r="P37"/>
    </row>
    <row r="38" spans="2:17" ht="15" customHeight="1">
      <c r="H38" s="224"/>
      <c r="K38" s="132"/>
      <c r="L38"/>
      <c r="M38"/>
      <c r="N38" s="132"/>
      <c r="O38"/>
      <c r="P38"/>
    </row>
    <row r="39" spans="2:17" ht="15" customHeight="1">
      <c r="K39" s="132"/>
      <c r="L39"/>
      <c r="M39"/>
      <c r="N39" s="132"/>
      <c r="O39"/>
      <c r="P39"/>
    </row>
    <row r="40" spans="2:17" ht="15" customHeight="1">
      <c r="K40" s="132"/>
      <c r="L40"/>
      <c r="M40"/>
      <c r="N40" s="132"/>
      <c r="O40"/>
      <c r="P40"/>
    </row>
    <row r="41" spans="2:17" ht="15" customHeight="1">
      <c r="K41" s="132"/>
      <c r="L41"/>
      <c r="M41"/>
      <c r="N41" s="132"/>
      <c r="O41"/>
      <c r="P41"/>
    </row>
    <row r="42" spans="2:17" ht="15" customHeight="1">
      <c r="L42"/>
      <c r="M42"/>
      <c r="O42"/>
      <c r="P42"/>
    </row>
    <row r="43" spans="2:17" ht="15" customHeight="1">
      <c r="L43" s="132"/>
      <c r="M43" s="132"/>
      <c r="O43" s="132"/>
      <c r="P43" s="132"/>
    </row>
    <row r="44" spans="2:17" ht="15" customHeight="1">
      <c r="L44" s="132"/>
      <c r="M44" s="132"/>
      <c r="O44" s="132"/>
      <c r="P44" s="132"/>
    </row>
    <row r="45" spans="2:17" ht="15" customHeight="1">
      <c r="L45" s="132"/>
      <c r="M45" s="132"/>
      <c r="O45" s="132"/>
      <c r="P45" s="132"/>
    </row>
    <row r="46" spans="2:17" ht="15" customHeight="1">
      <c r="L46" s="132"/>
      <c r="M46" s="132"/>
      <c r="O46" s="132"/>
      <c r="P46" s="132"/>
    </row>
    <row r="47" spans="2:17" ht="15" customHeight="1">
      <c r="L47" s="132"/>
      <c r="M47" s="132"/>
      <c r="O47" s="132"/>
      <c r="P47" s="132"/>
    </row>
    <row r="48" spans="2:17">
      <c r="L48" s="132"/>
      <c r="M48" s="132"/>
    </row>
  </sheetData>
  <sortState ref="O11:P24">
    <sortCondition descending="1" ref="P11"/>
  </sortState>
  <mergeCells count="47">
    <mergeCell ref="B5:E5"/>
    <mergeCell ref="B4:C4"/>
    <mergeCell ref="G4:H4"/>
    <mergeCell ref="I4:J4"/>
    <mergeCell ref="G22:I22"/>
    <mergeCell ref="B22:D22"/>
    <mergeCell ref="G5:J5"/>
    <mergeCell ref="I12:J12"/>
    <mergeCell ref="G13:H13"/>
    <mergeCell ref="I13:J13"/>
    <mergeCell ref="G14:H14"/>
    <mergeCell ref="I14:J14"/>
    <mergeCell ref="G15:H15"/>
    <mergeCell ref="I15:J15"/>
    <mergeCell ref="G16:H16"/>
    <mergeCell ref="I16:J16"/>
    <mergeCell ref="G24:I24"/>
    <mergeCell ref="G6:H6"/>
    <mergeCell ref="I6:J6"/>
    <mergeCell ref="G7:H7"/>
    <mergeCell ref="I7:J7"/>
    <mergeCell ref="G8:H8"/>
    <mergeCell ref="I8:J8"/>
    <mergeCell ref="G18:J18"/>
    <mergeCell ref="G9:H9"/>
    <mergeCell ref="I9:J9"/>
    <mergeCell ref="G10:H10"/>
    <mergeCell ref="I10:J10"/>
    <mergeCell ref="G11:H11"/>
    <mergeCell ref="I11:J11"/>
    <mergeCell ref="G12:H12"/>
    <mergeCell ref="B18:E18"/>
    <mergeCell ref="B19:D19"/>
    <mergeCell ref="B20:D20"/>
    <mergeCell ref="B21:D21"/>
    <mergeCell ref="G28:J37"/>
    <mergeCell ref="F28:F37"/>
    <mergeCell ref="G25:I25"/>
    <mergeCell ref="G20:I20"/>
    <mergeCell ref="B28:E37"/>
    <mergeCell ref="B27:E27"/>
    <mergeCell ref="B23:D23"/>
    <mergeCell ref="B24:D24"/>
    <mergeCell ref="B25:D25"/>
    <mergeCell ref="G19:I19"/>
    <mergeCell ref="G21:I21"/>
    <mergeCell ref="G23:I23"/>
  </mergeCells>
  <pageMargins left="0.7" right="0.7" top="0.75" bottom="0.75" header="0.3" footer="0.3"/>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enableFormatConditionsCalculation="0">
    <tabColor rgb="FF0070C0"/>
  </sheetPr>
  <dimension ref="A1:O41"/>
  <sheetViews>
    <sheetView showGridLines="0" zoomScale="80" zoomScaleNormal="80" zoomScalePageLayoutView="80" workbookViewId="0">
      <selection activeCell="H67" sqref="H67"/>
    </sheetView>
  </sheetViews>
  <sheetFormatPr baseColWidth="10" defaultColWidth="8.83203125" defaultRowHeight="15" customHeight="1" x14ac:dyDescent="0"/>
  <cols>
    <col min="1" max="1" width="2.83203125" customWidth="1"/>
    <col min="2" max="2" width="16.6640625" customWidth="1"/>
    <col min="3" max="3" width="4.1640625" customWidth="1"/>
    <col min="4" max="4" width="8.5" customWidth="1"/>
    <col min="5" max="5" width="11.5" customWidth="1"/>
    <col min="6" max="6" width="8.1640625" customWidth="1"/>
    <col min="7" max="7" width="13" customWidth="1"/>
    <col min="8" max="8" width="14.83203125" customWidth="1"/>
    <col min="9" max="9" width="9.33203125" customWidth="1"/>
    <col min="10" max="10" width="9.5" customWidth="1"/>
    <col min="11" max="11" width="14.5" customWidth="1"/>
    <col min="12" max="12" width="4" customWidth="1"/>
    <col min="13" max="13" width="18" bestFit="1" customWidth="1"/>
    <col min="14" max="14" width="11.1640625" bestFit="1" customWidth="1"/>
    <col min="15" max="15" width="18" bestFit="1" customWidth="1"/>
  </cols>
  <sheetData>
    <row r="1" spans="1:15" ht="15" customHeight="1" thickBot="1">
      <c r="A1" t="s">
        <v>1397</v>
      </c>
    </row>
    <row r="2" spans="1:15" ht="18.75" customHeight="1" thickBot="1">
      <c r="B2" s="508" t="s">
        <v>806</v>
      </c>
      <c r="C2" s="508"/>
      <c r="D2" s="508"/>
      <c r="E2" s="508"/>
      <c r="F2" s="508"/>
      <c r="G2" s="508"/>
      <c r="H2" s="508"/>
      <c r="I2" s="508"/>
      <c r="K2" t="s">
        <v>1370</v>
      </c>
    </row>
    <row r="3" spans="1:15" ht="15" customHeight="1">
      <c r="B3" s="509" t="s">
        <v>98</v>
      </c>
      <c r="C3" s="338"/>
      <c r="D3" s="511"/>
      <c r="E3" s="511" t="s">
        <v>803</v>
      </c>
      <c r="F3" s="511" t="s">
        <v>804</v>
      </c>
      <c r="G3" s="511" t="s">
        <v>51</v>
      </c>
      <c r="H3" s="513" t="s">
        <v>1010</v>
      </c>
      <c r="I3" s="339" t="s">
        <v>805</v>
      </c>
      <c r="K3" s="497" t="s">
        <v>821</v>
      </c>
      <c r="M3" s="215" t="s">
        <v>7</v>
      </c>
      <c r="N3" s="209" t="s">
        <v>210</v>
      </c>
      <c r="O3" s="214" t="s">
        <v>7</v>
      </c>
    </row>
    <row r="4" spans="1:15" ht="15" customHeight="1">
      <c r="B4" s="510"/>
      <c r="C4" s="340"/>
      <c r="D4" s="512"/>
      <c r="E4" s="512"/>
      <c r="F4" s="512"/>
      <c r="G4" s="512"/>
      <c r="H4" s="514"/>
      <c r="I4" s="341" t="s">
        <v>1383</v>
      </c>
      <c r="K4" s="498"/>
      <c r="M4" s="228" t="s">
        <v>190</v>
      </c>
      <c r="N4" s="163" t="s">
        <v>199</v>
      </c>
      <c r="O4" s="298" t="str">
        <f t="shared" ref="O4:O35" si="0">M4</f>
        <v>Industrialist</v>
      </c>
    </row>
    <row r="5" spans="1:15" ht="15" customHeight="1" thickBot="1">
      <c r="B5" s="292" t="str">
        <f>IF(AND(Input!B3&lt;&gt;"",Input!D3=""),Input!B3,"")</f>
        <v>Keki M.Mistry</v>
      </c>
      <c r="C5" s="289" t="str">
        <f t="shared" ref="C5:C24" si="1">IF(K5="","",K5)</f>
        <v/>
      </c>
      <c r="D5" s="289" t="str">
        <f>CONCATENATE(IF(Template_P2!B5&lt;&gt;"",Input!G3,""),IF(Input!AB3="Y","(R)",""))</f>
        <v>NEDP(R)</v>
      </c>
      <c r="E5" s="295" t="str">
        <f ca="1">IF(IFERROR(OFFSET(Input!T2,MATCH(Template_P2!B5,Input!B3:B22,0),0),"")=0,"",IFERROR(OFFSET(Input!T2,MATCH(Template_P2!B5,Input!B3:B22,0),0),""))</f>
        <v>Finance</v>
      </c>
      <c r="F5" s="289" t="str">
        <f>IF(B5&lt;&gt;"",TEXT(Input!E3,"#"))</f>
        <v>14</v>
      </c>
      <c r="G5" s="289">
        <f>IF(B5&lt;&gt;"",Input!Q3,"")</f>
        <v>14</v>
      </c>
      <c r="H5" s="289" t="str">
        <f>IF(B5&lt;&gt;"",Input!R3&amp;" ("&amp;Input!S3&amp;")","")</f>
        <v>10 (4)</v>
      </c>
      <c r="I5" s="296">
        <f>IF(B5&lt;&gt;"",(Input!C24+Input!D24)*100,"")</f>
        <v>1.35</v>
      </c>
      <c r="K5" s="303"/>
      <c r="M5" s="228" t="s">
        <v>194</v>
      </c>
      <c r="N5" s="163" t="s">
        <v>200</v>
      </c>
      <c r="O5" s="298" t="str">
        <f t="shared" si="0"/>
        <v>Industry Specialist</v>
      </c>
    </row>
    <row r="6" spans="1:15" ht="15" customHeight="1" thickBot="1">
      <c r="B6" s="293" t="str">
        <f>IF(AND(Input!B4&lt;&gt;"",Input!D4=""),Input!B4,"")</f>
        <v>Renu Sud Karnad</v>
      </c>
      <c r="C6" s="290" t="str">
        <f t="shared" si="1"/>
        <v>Up</v>
      </c>
      <c r="D6" s="290" t="str">
        <f>CONCATENATE(IF(Template_P2!B6&lt;&gt;"",Input!G4,""),IF(Input!AB4="Y","(R)",""))</f>
        <v>NEDP</v>
      </c>
      <c r="E6" s="290" t="str">
        <f ca="1">IF(IFERROR(OFFSET(Input!T3,MATCH(Template_P2!B6,Input!B4:B23,0),0),"")=0,"",IFERROR(OFFSET(Input!T3,MATCH(Template_P2!B6,Input!B4:B23,0),0),""))</f>
        <v>Finance</v>
      </c>
      <c r="F6" s="290" t="str">
        <f>IF(B6&lt;&gt;"",TEXT(Input!E4,"#"))</f>
        <v>14</v>
      </c>
      <c r="G6" s="290">
        <f>IF(B6&lt;&gt;"",Input!Q4,"")</f>
        <v>13</v>
      </c>
      <c r="H6" s="290" t="str">
        <f>IF(B6&lt;&gt;"",Input!R4&amp;" ("&amp;Input!S4&amp;")","")</f>
        <v>5 (3)</v>
      </c>
      <c r="I6" s="297">
        <f>IF(B6&lt;&gt;"",(Input!C25+Input!D25)*100,"")</f>
        <v>0.44999999999999996</v>
      </c>
      <c r="K6" s="303" t="s">
        <v>1329</v>
      </c>
      <c r="M6" s="228" t="s">
        <v>195</v>
      </c>
      <c r="N6" s="163" t="s">
        <v>201</v>
      </c>
      <c r="O6" s="298" t="str">
        <f t="shared" si="0"/>
        <v>Marketing</v>
      </c>
    </row>
    <row r="7" spans="1:15" ht="15" customHeight="1" thickBot="1">
      <c r="B7" s="292" t="str">
        <f>IF(AND(Input!B5&lt;&gt;"",Input!D5=""),Input!B5,"")</f>
        <v>S.M Palia</v>
      </c>
      <c r="C7" s="289" t="str">
        <f t="shared" si="1"/>
        <v>Up</v>
      </c>
      <c r="D7" s="289" t="str">
        <f>CONCATENATE(IF(Template_P2!B7&lt;&gt;"",Input!G5,""),IF(Input!AB5="Y","(R)",""))</f>
        <v>ID</v>
      </c>
      <c r="E7" s="289" t="str">
        <f ca="1">IF(IFERROR(OFFSET(Input!T4,MATCH(Template_P2!B7,Input!B5:B24,0),0),"")=0,"",IFERROR(OFFSET(Input!T4,MATCH(Template_P2!B7,Input!B5:B24,0),0),""))</f>
        <v>FI</v>
      </c>
      <c r="F7" s="289" t="str">
        <f>IF(B7&lt;&gt;"",TEXT(Input!E5,"#"))</f>
        <v>21</v>
      </c>
      <c r="G7" s="289">
        <f>IF(B7&lt;&gt;"",Input!Q5,"")</f>
        <v>4</v>
      </c>
      <c r="H7" s="289" t="str">
        <f>IF(B7&lt;&gt;"",Input!R5&amp;" ("&amp;Input!S5&amp;")","")</f>
        <v>2 (1)</v>
      </c>
      <c r="I7" s="296">
        <f>IF(B7&lt;&gt;"",(Input!C26+Input!D26)*100,"")</f>
        <v>1.35</v>
      </c>
      <c r="K7" s="303" t="s">
        <v>1329</v>
      </c>
      <c r="M7" s="228" t="s">
        <v>191</v>
      </c>
      <c r="N7" s="163" t="s">
        <v>202</v>
      </c>
      <c r="O7" s="298" t="str">
        <f t="shared" si="0"/>
        <v>General Management</v>
      </c>
    </row>
    <row r="8" spans="1:15" ht="15" customHeight="1" thickBot="1">
      <c r="B8" s="293" t="str">
        <f>IF(AND(Input!B6&lt;&gt;"",Input!D6=""),Input!B6,"")</f>
        <v>Rohit C. Mehta</v>
      </c>
      <c r="C8" s="290" t="str">
        <f t="shared" si="1"/>
        <v>Up</v>
      </c>
      <c r="D8" s="290" t="str">
        <f>CONCATENATE(IF(Template_P2!B8&lt;&gt;"",Input!G6,""),IF(Input!AB6="Y","(R)",""))</f>
        <v>ID(R)</v>
      </c>
      <c r="E8" s="290" t="str">
        <f ca="1">IF(IFERROR(OFFSET(Input!T5,MATCH(Template_P2!B8,Input!B6:B25,0),0),"")=0,"",IFERROR(OFFSET(Input!T5,MATCH(Template_P2!B8,Input!B6:B25,0),0),""))</f>
        <v>IN</v>
      </c>
      <c r="F8" s="290" t="str">
        <f>IF(B8&lt;&gt;"",TEXT(Input!E6,"#"))</f>
        <v>27</v>
      </c>
      <c r="G8" s="290">
        <f>IF(B8&lt;&gt;"",Input!Q6,"")</f>
        <v>3</v>
      </c>
      <c r="H8" s="290" t="str">
        <f>IF(B8&lt;&gt;"",Input!R6&amp;" ("&amp;Input!S6&amp;")","")</f>
        <v>4 (2)</v>
      </c>
      <c r="I8" s="297">
        <f>IF(B8&lt;&gt;"",(Input!C27+Input!D27)*100,"")</f>
        <v>1.6500000000000001</v>
      </c>
      <c r="K8" s="303" t="s">
        <v>1329</v>
      </c>
      <c r="M8" s="228" t="s">
        <v>196</v>
      </c>
      <c r="N8" s="163" t="s">
        <v>203</v>
      </c>
      <c r="O8" s="298" t="str">
        <f t="shared" si="0"/>
        <v>Administrative</v>
      </c>
    </row>
    <row r="9" spans="1:15" ht="15" customHeight="1" thickBot="1">
      <c r="B9" s="292" t="str">
        <f>IF(AND(Input!B7&lt;&gt;"",Input!D7=""),Input!B7,"")</f>
        <v>Prafull Anubhai</v>
      </c>
      <c r="C9" s="289" t="str">
        <f t="shared" si="1"/>
        <v/>
      </c>
      <c r="D9" s="289" t="str">
        <f>CONCATENATE(IF(Template_P2!B9&lt;&gt;"",Input!G7,""),IF(Input!AB7="Y","(R)",""))</f>
        <v>ID</v>
      </c>
      <c r="E9" s="289" t="str">
        <f ca="1">IF(IFERROR(OFFSET(Input!T6,MATCH(Template_P2!B9,Input!B7:B26,0),0),"")=0,"",IFERROR(OFFSET(Input!T6,MATCH(Template_P2!B9,Input!B7:B26,0),0),""))</f>
        <v>GM</v>
      </c>
      <c r="F9" s="289" t="str">
        <f>IF(B9&lt;&gt;"",TEXT(Input!E7,"#"))</f>
        <v>27</v>
      </c>
      <c r="G9" s="289">
        <f>IF(B9&lt;&gt;"",Input!Q7,"")</f>
        <v>5</v>
      </c>
      <c r="H9" s="289" t="str">
        <f>IF(B9&lt;&gt;"",Input!R7&amp;" ("&amp;Input!S7&amp;")","")</f>
        <v>6 (3)</v>
      </c>
      <c r="I9" s="296">
        <f>IF(B9&lt;&gt;"",(Input!C28+Input!D28)*100,"")</f>
        <v>1.2</v>
      </c>
      <c r="K9" s="303"/>
      <c r="M9" s="228" t="s">
        <v>197</v>
      </c>
      <c r="N9" s="163" t="s">
        <v>204</v>
      </c>
      <c r="O9" s="298" t="str">
        <f t="shared" si="0"/>
        <v>Finance</v>
      </c>
    </row>
    <row r="10" spans="1:15" ht="15" customHeight="1" thickBot="1">
      <c r="B10" s="293" t="str">
        <f>IF(AND(Input!B8&lt;&gt;"",Input!D8=""),Input!B8,"")</f>
        <v>K.G Krishnamurty</v>
      </c>
      <c r="C10" s="290" t="str">
        <f t="shared" si="1"/>
        <v/>
      </c>
      <c r="D10" s="290" t="str">
        <f>CONCATENATE(IF(Template_P2!B10&lt;&gt;"",Input!G8,""),IF(Input!AB8="Y","(R)",""))</f>
        <v>ID(R)</v>
      </c>
      <c r="E10" s="290" t="str">
        <f ca="1">IF(IFERROR(OFFSET(Input!T7,MATCH(Template_P2!B10,Input!B8:B27,0),0),"")=0,"",IFERROR(OFFSET(Input!T7,MATCH(Template_P2!B10,Input!B8:B27,0),0),""))</f>
        <v>FI</v>
      </c>
      <c r="F10" s="290" t="str">
        <f>IF(B10&lt;&gt;"",TEXT(Input!E8,"#"))</f>
        <v>10</v>
      </c>
      <c r="G10" s="290">
        <f>IF(B10&lt;&gt;"",Input!Q8,"")</f>
        <v>5</v>
      </c>
      <c r="H10" s="290" t="str">
        <f>IF(B10&lt;&gt;"",Input!R8&amp;" ("&amp;Input!S8&amp;")","")</f>
        <v>1 (0)</v>
      </c>
      <c r="I10" s="297">
        <f>IF(B10&lt;&gt;"",(Input!C29+Input!D29)*100,"")</f>
        <v>0.75</v>
      </c>
      <c r="K10" s="303"/>
      <c r="M10" s="228" t="s">
        <v>198</v>
      </c>
      <c r="N10" s="163" t="s">
        <v>204</v>
      </c>
      <c r="O10" s="298" t="str">
        <f t="shared" si="0"/>
        <v>Banking</v>
      </c>
    </row>
    <row r="11" spans="1:15" ht="15" customHeight="1" thickBot="1">
      <c r="B11" s="292" t="str">
        <f>IF(AND(Input!B9&lt;&gt;"",Input!D9=""),Input!B9,"")</f>
        <v>S.G Mankad</v>
      </c>
      <c r="C11" s="289" t="str">
        <f t="shared" si="1"/>
        <v>Up</v>
      </c>
      <c r="D11" s="289" t="str">
        <f>CONCATENATE(IF(Template_P2!B11&lt;&gt;"",Input!G9,""),IF(Input!AB9="Y","(R)",""))</f>
        <v>ID</v>
      </c>
      <c r="E11" s="289" t="str">
        <f ca="1">IF(IFERROR(OFFSET(Input!T8,MATCH(Template_P2!B11,Input!B9:B28,0),0),"")=0,"",IFERROR(OFFSET(Input!T8,MATCH(Template_P2!B11,Input!B9:B28,0),0),""))</f>
        <v>AD</v>
      </c>
      <c r="F11" s="289" t="str">
        <f>IF(B11&lt;&gt;"",TEXT(Input!E9,"#"))</f>
        <v>4</v>
      </c>
      <c r="G11" s="289">
        <f>IF(B11&lt;&gt;"",Input!Q9,"")</f>
        <v>11</v>
      </c>
      <c r="H11" s="289" t="str">
        <f>IF(B11&lt;&gt;"",Input!R9&amp;" ("&amp;Input!S9&amp;")","")</f>
        <v>5 (1)</v>
      </c>
      <c r="I11" s="296">
        <f>IF(B11&lt;&gt;"",(Input!C30+Input!D30)*100,"")</f>
        <v>1.35</v>
      </c>
      <c r="K11" s="303" t="s">
        <v>1329</v>
      </c>
      <c r="M11" s="228" t="s">
        <v>1005</v>
      </c>
      <c r="N11" s="163" t="s">
        <v>205</v>
      </c>
      <c r="O11" s="298" t="str">
        <f t="shared" si="0"/>
        <v>Accountancy</v>
      </c>
    </row>
    <row r="12" spans="1:15" ht="15" customHeight="1" thickBot="1">
      <c r="B12" s="293" t="str">
        <f>IF(AND(Input!B10&lt;&gt;"",Input!D10=""),Input!B10,"")</f>
        <v>Kamlesh Shah</v>
      </c>
      <c r="C12" s="290" t="str">
        <f t="shared" si="1"/>
        <v/>
      </c>
      <c r="D12" s="290" t="str">
        <f>CONCATENATE(IF(Template_P2!B12&lt;&gt;"",Input!G10,""),IF(Input!AB10="Y","(R)",""))</f>
        <v>ED</v>
      </c>
      <c r="E12" s="290" t="str">
        <f ca="1">IF(IFERROR(OFFSET(Input!T9,MATCH(Template_P2!B12,Input!B10:B29,0),0),"")=0,"",IFERROR(OFFSET(Input!T9,MATCH(Template_P2!B12,Input!B10:B29,0),0),""))</f>
        <v>AU</v>
      </c>
      <c r="F12" s="290" t="str">
        <f>IF(B12&lt;&gt;"",TEXT(Input!E10,"#"))</f>
        <v>4</v>
      </c>
      <c r="G12" s="290">
        <f>IF(B12&lt;&gt;"",Input!Q10,"")</f>
        <v>1</v>
      </c>
      <c r="H12" s="290" t="str">
        <f>IF(B12&lt;&gt;"",Input!R10&amp;" ("&amp;Input!S10&amp;")","")</f>
        <v>0 (0)</v>
      </c>
      <c r="I12" s="297">
        <f>IF(B12&lt;&gt;"",(Input!C31+Input!D31)*100,"")</f>
        <v>72</v>
      </c>
      <c r="K12" s="303"/>
      <c r="M12" s="228" t="s">
        <v>193</v>
      </c>
      <c r="N12" s="163" t="s">
        <v>206</v>
      </c>
      <c r="O12" s="298" t="str">
        <f t="shared" si="0"/>
        <v>Legal</v>
      </c>
    </row>
    <row r="13" spans="1:15" ht="15" customHeight="1" thickBot="1">
      <c r="B13" s="292" t="str">
        <f>IF(AND(Input!B11&lt;&gt;"",Input!D11=""),Input!B11,"")</f>
        <v>Sudhin Choksey</v>
      </c>
      <c r="C13" s="289" t="str">
        <f t="shared" si="1"/>
        <v/>
      </c>
      <c r="D13" s="289" t="str">
        <f>CONCATENATE(IF(Template_P2!B13&lt;&gt;"",Input!G11,""),IF(Input!AB11="Y","(R)",""))</f>
        <v>ED</v>
      </c>
      <c r="E13" s="289" t="str">
        <f ca="1">IF(IFERROR(OFFSET(Input!T10,MATCH(Template_P2!B13,Input!B11:B30,0),0),"")=0,"",IFERROR(OFFSET(Input!T10,MATCH(Template_P2!B13,Input!B11:B30,0),0),""))</f>
        <v>FI</v>
      </c>
      <c r="F13" s="289" t="str">
        <f>IF(B13&lt;&gt;"",TEXT(Input!E11,"#"))</f>
        <v>21</v>
      </c>
      <c r="G13" s="289">
        <f>IF(B13&lt;&gt;"",Input!Q11,"")</f>
        <v>3</v>
      </c>
      <c r="H13" s="289" t="str">
        <f>IF(B13&lt;&gt;"",Input!R11&amp;" ("&amp;Input!S11&amp;")","")</f>
        <v>3 (1)</v>
      </c>
      <c r="I13" s="296">
        <f>IF(B13&lt;&gt;"",(Input!C32+Input!D32)*100,"")</f>
        <v>215</v>
      </c>
      <c r="K13" s="303"/>
      <c r="M13" s="228" t="s">
        <v>192</v>
      </c>
      <c r="N13" s="163" t="s">
        <v>207</v>
      </c>
      <c r="O13" s="298" t="str">
        <f t="shared" si="0"/>
        <v>Economics</v>
      </c>
    </row>
    <row r="14" spans="1:15" ht="15" customHeight="1" thickBot="1">
      <c r="B14" s="293" t="str">
        <f>IF(AND(Input!B12&lt;&gt;"",Input!D12=""),Input!B12,"")</f>
        <v/>
      </c>
      <c r="C14" s="290" t="str">
        <f t="shared" si="1"/>
        <v/>
      </c>
      <c r="D14" s="290" t="str">
        <f>CONCATENATE(IF(Template_P2!B14&lt;&gt;"",Input!G12,""),IF(Input!AB12="Y","(R)",""))</f>
        <v/>
      </c>
      <c r="E14" s="290" t="str">
        <f ca="1">IF(IFERROR(OFFSET(Input!T11,MATCH(Template_P2!B14,Input!B12:B31,0),0),"")=0,"",IFERROR(OFFSET(Input!T11,MATCH(Template_P2!B14,Input!B12:B31,0),0),""))</f>
        <v/>
      </c>
      <c r="F14" s="290" t="str">
        <f>IF(B14&lt;&gt;"",TEXT(Input!E12,"#")&amp;" Y","")</f>
        <v/>
      </c>
      <c r="G14" s="290" t="str">
        <f>IF(B14&lt;&gt;"",Input!Q12,"")</f>
        <v/>
      </c>
      <c r="H14" s="290" t="str">
        <f>IF(B14&lt;&gt;"",Input!R12&amp;" ("&amp;Input!S12&amp;")","")</f>
        <v/>
      </c>
      <c r="I14" s="297" t="str">
        <f>IF(B14&lt;&gt;"",(Input!C33+Input!D33)*100,"")</f>
        <v/>
      </c>
      <c r="K14" s="303"/>
      <c r="M14" s="228" t="s">
        <v>208</v>
      </c>
      <c r="N14" s="163" t="s">
        <v>209</v>
      </c>
      <c r="O14" s="298" t="str">
        <f t="shared" si="0"/>
        <v>Academics</v>
      </c>
    </row>
    <row r="15" spans="1:15" ht="15" customHeight="1" thickBot="1">
      <c r="B15" s="292" t="str">
        <f>IF(AND(Input!B13&lt;&gt;"",Input!D13=""),Input!B13,"")</f>
        <v/>
      </c>
      <c r="C15" s="289" t="str">
        <f t="shared" si="1"/>
        <v/>
      </c>
      <c r="D15" s="289" t="str">
        <f>CONCATENATE(IF(Template_P2!B15&lt;&gt;"",Input!G13,""),IF(Input!AB13="Y","(R)",""))</f>
        <v/>
      </c>
      <c r="E15" s="289" t="str">
        <f ca="1">IF(IFERROR(OFFSET(Input!T12,MATCH(Template_P2!B15,Input!B13:B32,0),0),"")=0,"",IFERROR(OFFSET(Input!T12,MATCH(Template_P2!B15,Input!B13:B32,0),0),""))</f>
        <v/>
      </c>
      <c r="F15" s="289" t="str">
        <f>IF(B15&lt;&gt;"",TEXT(Input!E13,"#")&amp;" Y","")</f>
        <v/>
      </c>
      <c r="G15" s="289" t="str">
        <f>IF(B15&lt;&gt;"",Input!Q13,"")</f>
        <v/>
      </c>
      <c r="H15" s="289" t="str">
        <f>IF(B15&lt;&gt;"",Input!R13&amp;" ("&amp;Input!S13&amp;")","")</f>
        <v/>
      </c>
      <c r="I15" s="296" t="str">
        <f>IF(B15&lt;&gt;"",(Input!C34+Input!D34)*100,"")</f>
        <v/>
      </c>
      <c r="K15" s="303"/>
      <c r="M15" s="228" t="s">
        <v>824</v>
      </c>
      <c r="N15" s="163" t="s">
        <v>825</v>
      </c>
      <c r="O15" s="298" t="str">
        <f t="shared" si="0"/>
        <v>Consulting</v>
      </c>
    </row>
    <row r="16" spans="1:15" ht="15" customHeight="1" thickBot="1">
      <c r="B16" s="293" t="str">
        <f>IF(AND(Input!B14&lt;&gt;"",Input!D14=""),Input!B14,"")</f>
        <v/>
      </c>
      <c r="C16" s="290" t="str">
        <f t="shared" si="1"/>
        <v/>
      </c>
      <c r="D16" s="290" t="str">
        <f>CONCATENATE(IF(Template_P2!B16&lt;&gt;"",Input!G14,""),IF(Input!AB14="Y","(R)",""))</f>
        <v/>
      </c>
      <c r="E16" s="290" t="str">
        <f ca="1">IF(IFERROR(OFFSET(Input!T13,MATCH(Template_P2!B16,Input!B14:B33,0),0),"")=0,"",IFERROR(OFFSET(Input!T13,MATCH(Template_P2!B16,Input!B14:B33,0),0),""))</f>
        <v/>
      </c>
      <c r="F16" s="290" t="str">
        <f>IF(B16&lt;&gt;"",TEXT(Input!E14,"#")&amp;" Y","")</f>
        <v/>
      </c>
      <c r="G16" s="290" t="str">
        <f>IF(B16&lt;&gt;"",Input!Q14,"")</f>
        <v/>
      </c>
      <c r="H16" s="290" t="str">
        <f>IF(B16&lt;&gt;"",Input!R14&amp;" ("&amp;Input!S14&amp;")","")</f>
        <v/>
      </c>
      <c r="I16" s="297" t="str">
        <f>IF(B16&lt;&gt;"",(Input!C35+Input!D35)*100,"")</f>
        <v/>
      </c>
      <c r="K16" s="303"/>
      <c r="M16" s="228" t="s">
        <v>843</v>
      </c>
      <c r="N16" s="163" t="s">
        <v>844</v>
      </c>
      <c r="O16" s="298" t="str">
        <f t="shared" si="0"/>
        <v>Human Resource</v>
      </c>
    </row>
    <row r="17" spans="2:15" ht="15" customHeight="1" thickBot="1">
      <c r="B17" s="292" t="str">
        <f>IF(AND(Input!B15&lt;&gt;"",Input!D15=""),Input!B15,"")</f>
        <v/>
      </c>
      <c r="C17" s="289" t="str">
        <f t="shared" si="1"/>
        <v/>
      </c>
      <c r="D17" s="289" t="str">
        <f>CONCATENATE(IF(Template_P2!B17&lt;&gt;"",Input!G15,""),IF(Input!AB15="Y","(R)",""))</f>
        <v/>
      </c>
      <c r="E17" s="289" t="str">
        <f ca="1">IF(IFERROR(OFFSET(Input!T14,MATCH(Template_P2!B17,Input!B15:B34,0),0),"")=0,"",IFERROR(OFFSET(Input!T14,MATCH(Template_P2!B17,Input!B15:B34,0),0),""))</f>
        <v/>
      </c>
      <c r="F17" s="289" t="str">
        <f>IF(B17&lt;&gt;"",TEXT(Input!E15,"#")&amp;" Y","")</f>
        <v/>
      </c>
      <c r="G17" s="289" t="str">
        <f>IF(B17&lt;&gt;"",Input!Q15,"")</f>
        <v/>
      </c>
      <c r="H17" s="289" t="str">
        <f>IF(B17&lt;&gt;"",Input!R15&amp;" ("&amp;Input!S15&amp;")","")</f>
        <v/>
      </c>
      <c r="I17" s="296" t="str">
        <f>IF(B17&lt;&gt;"",(Input!C36+Input!D36)*100,"")</f>
        <v/>
      </c>
      <c r="K17" s="303"/>
      <c r="M17" s="228" t="s">
        <v>845</v>
      </c>
      <c r="N17" s="163" t="s">
        <v>828</v>
      </c>
      <c r="O17" s="298" t="str">
        <f t="shared" si="0"/>
        <v>Miscelleneous</v>
      </c>
    </row>
    <row r="18" spans="2:15" ht="15" customHeight="1" thickBot="1">
      <c r="B18" s="293" t="str">
        <f>IF(AND(Input!B16&lt;&gt;"",Input!D16=""),Input!B16,"")</f>
        <v/>
      </c>
      <c r="C18" s="290" t="str">
        <f t="shared" si="1"/>
        <v/>
      </c>
      <c r="D18" s="290" t="str">
        <f>CONCATENATE(IF(Template_P2!B18&lt;&gt;"",Input!G16,""),IF(Input!AB16="Y","(R)",""))</f>
        <v/>
      </c>
      <c r="E18" s="290" t="str">
        <f ca="1">IF(IFERROR(OFFSET(Input!T15,MATCH(Template_P2!B18,Input!B16:B35,0),0),"")=0,"",IFERROR(OFFSET(Input!T15,MATCH(Template_P2!B18,Input!B16:B35,0),0),""))</f>
        <v/>
      </c>
      <c r="F18" s="290" t="str">
        <f>IF(B18&lt;&gt;"",TEXT(Input!E16,"#")&amp;" Y","")</f>
        <v/>
      </c>
      <c r="G18" s="290" t="str">
        <f>IF(B18&lt;&gt;"",Input!Q16,"")</f>
        <v/>
      </c>
      <c r="H18" s="290" t="str">
        <f>IF(B18&lt;&gt;"",Input!R16&amp;" ("&amp;Input!S16&amp;")","")</f>
        <v/>
      </c>
      <c r="I18" s="297" t="str">
        <f>IF(B18&lt;&gt;"",(Input!C37+Input!D37)*100,"")</f>
        <v/>
      </c>
      <c r="K18" s="303"/>
      <c r="M18" s="228" t="s">
        <v>830</v>
      </c>
      <c r="N18" s="163" t="s">
        <v>829</v>
      </c>
      <c r="O18" s="298" t="str">
        <f t="shared" si="0"/>
        <v>Information Technology</v>
      </c>
    </row>
    <row r="19" spans="2:15" ht="15" customHeight="1" thickBot="1">
      <c r="B19" s="292" t="str">
        <f>IF(AND(Input!B17&lt;&gt;"",Input!D17=""),Input!B17,"")</f>
        <v/>
      </c>
      <c r="C19" s="289" t="str">
        <f t="shared" si="1"/>
        <v/>
      </c>
      <c r="D19" s="289" t="str">
        <f>CONCATENATE(IF(Template_P2!B19&lt;&gt;"",Input!G17,""),IF(Input!AB17="Y","(R)",""))</f>
        <v/>
      </c>
      <c r="E19" s="289" t="str">
        <f ca="1">IF(IFERROR(OFFSET(Input!T16,MATCH(Template_P2!B19,Input!B17:B36,0),0),"")=0,"",IFERROR(OFFSET(Input!T16,MATCH(Template_P2!B19,Input!B17:B36,0),0),""))</f>
        <v/>
      </c>
      <c r="F19" s="289" t="str">
        <f>IF(B19&lt;&gt;"",TEXT(Input!E17,"#")&amp;" Y","")</f>
        <v/>
      </c>
      <c r="G19" s="289" t="str">
        <f>IF(B19&lt;&gt;"",Input!Q17,"")</f>
        <v/>
      </c>
      <c r="H19" s="289" t="str">
        <f>IF(B19&lt;&gt;"",Input!R17&amp;" ("&amp;Input!S17&amp;")","")</f>
        <v/>
      </c>
      <c r="I19" s="296" t="str">
        <f>IF(B19&lt;&gt;"",(Input!C38+Input!D38)*100,"")</f>
        <v/>
      </c>
      <c r="K19" s="303"/>
      <c r="M19" s="228" t="s">
        <v>846</v>
      </c>
      <c r="N19" s="163" t="s">
        <v>837</v>
      </c>
      <c r="O19" s="298" t="str">
        <f t="shared" si="0"/>
        <v>Operations</v>
      </c>
    </row>
    <row r="20" spans="2:15" ht="15" customHeight="1" thickBot="1">
      <c r="B20" s="293" t="str">
        <f>IF(AND(Input!B18&lt;&gt;"",Input!D18=""),Input!B18,"")</f>
        <v/>
      </c>
      <c r="C20" s="290" t="str">
        <f t="shared" si="1"/>
        <v/>
      </c>
      <c r="D20" s="290" t="str">
        <f>CONCATENATE(IF(Template_P2!B20&lt;&gt;"",Input!G18,""),IF(Input!AB18="Y","(R)",""))</f>
        <v/>
      </c>
      <c r="E20" s="290" t="str">
        <f ca="1">IF(IFERROR(OFFSET(Input!T17,MATCH(Template_P2!B20,Input!B18:B37,0),0),"")=0,"",IFERROR(OFFSET(Input!T17,MATCH(Template_P2!B20,Input!B18:B37,0),0),""))</f>
        <v/>
      </c>
      <c r="F20" s="290" t="str">
        <f>IF(B20&lt;&gt;"",TEXT(Input!E18,"#")&amp;" Y","")</f>
        <v/>
      </c>
      <c r="G20" s="290" t="str">
        <f>IF(B20&lt;&gt;"",Input!Q18,"")</f>
        <v/>
      </c>
      <c r="H20" s="290" t="str">
        <f>IF(B20&lt;&gt;"",Input!R18&amp;" ("&amp;Input!S18&amp;")","")</f>
        <v/>
      </c>
      <c r="I20" s="297" t="str">
        <f>IF(B20&lt;&gt;"",(Input!C39+Input!D39)*100,"")</f>
        <v/>
      </c>
      <c r="K20" s="303"/>
      <c r="M20" s="228" t="s">
        <v>847</v>
      </c>
      <c r="N20" s="163" t="s">
        <v>848</v>
      </c>
      <c r="O20" s="298" t="str">
        <f t="shared" si="0"/>
        <v>No Expertise</v>
      </c>
    </row>
    <row r="21" spans="2:15" ht="15" customHeight="1" thickBot="1">
      <c r="B21" s="292" t="str">
        <f>IF(AND(Input!B19&lt;&gt;"",Input!D19=""),Input!B19,"")</f>
        <v/>
      </c>
      <c r="C21" s="289" t="str">
        <f t="shared" si="1"/>
        <v/>
      </c>
      <c r="D21" s="289" t="str">
        <f>CONCATENATE(IF(Template_P2!B21&lt;&gt;"",Input!G19,""),IF(Input!AB19="Y","(R)",""))</f>
        <v/>
      </c>
      <c r="E21" s="289" t="str">
        <f ca="1">IF(IFERROR(OFFSET(Input!T18,MATCH(Template_P2!B21,Input!B19:B38,0),0),"")=0,"",IFERROR(OFFSET(Input!T18,MATCH(Template_P2!B21,Input!B19:B38,0),0),""))</f>
        <v/>
      </c>
      <c r="F21" s="289" t="str">
        <f>IF(B21&lt;&gt;"",TEXT(Input!E19,"#")&amp;" Y","")</f>
        <v/>
      </c>
      <c r="G21" s="289" t="str">
        <f>IF(B21&lt;&gt;"",Input!Q19,"")</f>
        <v/>
      </c>
      <c r="H21" s="289" t="str">
        <f>IF(B21&lt;&gt;"",Input!R19&amp;" ("&amp;Input!S19&amp;")","")</f>
        <v/>
      </c>
      <c r="I21" s="296" t="str">
        <f>IF(B21&lt;&gt;"",(Input!C40+Input!D40)*100,"")</f>
        <v/>
      </c>
      <c r="K21" s="303"/>
      <c r="M21" s="228" t="s">
        <v>849</v>
      </c>
      <c r="N21" s="163" t="s">
        <v>850</v>
      </c>
      <c r="O21" s="298" t="str">
        <f t="shared" si="0"/>
        <v>Regulatory</v>
      </c>
    </row>
    <row r="22" spans="2:15" ht="15" customHeight="1" thickBot="1">
      <c r="B22" s="293"/>
      <c r="C22" s="290" t="str">
        <f t="shared" si="1"/>
        <v/>
      </c>
      <c r="D22" s="290" t="str">
        <f>CONCATENATE(IF(Template_P2!B22&lt;&gt;"",Input!G20,""),IF(Input!AB20="Y","(R)",""))</f>
        <v/>
      </c>
      <c r="E22" s="290" t="str">
        <f ca="1">IF(IFERROR(OFFSET(Input!T19,MATCH(Template_P2!B22,Input!B20:B39,0),0),"")=0,"",IFERROR(OFFSET(Input!T19,MATCH(Template_P2!B22,Input!B20:B39,0),0),""))</f>
        <v/>
      </c>
      <c r="F22" s="290" t="str">
        <f>IF(B22&lt;&gt;"",TEXT(Input!E20,"#")&amp;" Y","")</f>
        <v/>
      </c>
      <c r="G22" s="290" t="str">
        <f>IF(B22&lt;&gt;"",Input!Q20,"")</f>
        <v/>
      </c>
      <c r="H22" s="290" t="str">
        <f>IF(B22&lt;&gt;"",Input!R20&amp;" ("&amp;Input!S20&amp;")","")</f>
        <v/>
      </c>
      <c r="I22" s="297" t="str">
        <f>IF(B22&lt;&gt;"",(Input!C41+Input!D41)*100,"")</f>
        <v/>
      </c>
      <c r="K22" s="303"/>
      <c r="M22" s="228" t="s">
        <v>995</v>
      </c>
      <c r="N22" s="163" t="s">
        <v>994</v>
      </c>
      <c r="O22" s="298" t="str">
        <f t="shared" si="0"/>
        <v>Media &amp; Entertainment</v>
      </c>
    </row>
    <row r="23" spans="2:15" ht="15" customHeight="1" thickBot="1">
      <c r="B23" s="292" t="str">
        <f>IF(AND(Input!B21&lt;&gt;"",Input!D21=""),Input!B21,"")</f>
        <v/>
      </c>
      <c r="C23" s="289" t="str">
        <f t="shared" si="1"/>
        <v/>
      </c>
      <c r="D23" s="289" t="str">
        <f>CONCATENATE(IF(Template_P2!B23&lt;&gt;"",Input!G21,""),IF(Input!AB21="Y","(R)",""))</f>
        <v/>
      </c>
      <c r="E23" s="289" t="str">
        <f ca="1">IF(IFERROR(OFFSET(Input!T20,MATCH(Template_P2!B23,Input!B21:B40,0),0),"")=0,"",IFERROR(OFFSET(Input!T20,MATCH(Template_P2!B23,Input!B21:B40,0),0),""))</f>
        <v/>
      </c>
      <c r="F23" s="289" t="str">
        <f>IF(B23&lt;&gt;"",TEXT(Input!E21,"#")&amp;" Y","")</f>
        <v/>
      </c>
      <c r="G23" s="289" t="str">
        <f>IF(B23&lt;&gt;"",Input!Q21,"")</f>
        <v/>
      </c>
      <c r="H23" s="289" t="str">
        <f>IF(B23&lt;&gt;"",Input!R21&amp;" ("&amp;Input!S21&amp;")","")</f>
        <v/>
      </c>
      <c r="I23" s="296" t="str">
        <f>IF(B23&lt;&gt;"",(Input!C42+Input!D42)*100,"")</f>
        <v/>
      </c>
      <c r="K23" s="303"/>
      <c r="M23" s="228" t="s">
        <v>996</v>
      </c>
      <c r="N23" s="163" t="s">
        <v>997</v>
      </c>
      <c r="O23" s="298" t="str">
        <f t="shared" si="0"/>
        <v>Transportation</v>
      </c>
    </row>
    <row r="24" spans="2:15" ht="15" customHeight="1" thickBot="1">
      <c r="B24" s="294" t="str">
        <f>IF(AND(Input!B22&lt;&gt;"",Input!D22=""),Input!B22,"")</f>
        <v/>
      </c>
      <c r="C24" s="291" t="str">
        <f t="shared" si="1"/>
        <v/>
      </c>
      <c r="D24" s="291" t="str">
        <f>CONCATENATE(IF(Template_P2!B24&lt;&gt;"",Input!G22,""),IF(Input!AB22="Y","(R)",""))</f>
        <v/>
      </c>
      <c r="E24" s="291" t="str">
        <f ca="1">IF(IFERROR(OFFSET(Input!T21,MATCH(Template_P2!B24,Input!B22:B41,0),0),"")=0,"",IFERROR(OFFSET(Input!T21,MATCH(Template_P2!B24,Input!B22:B41,0),0),""))</f>
        <v/>
      </c>
      <c r="F24" s="291" t="str">
        <f>IF(B24&lt;&gt;"",TEXT(Input!E22,"#")&amp;" Y","")</f>
        <v/>
      </c>
      <c r="G24" s="291" t="str">
        <f>IF(B24&lt;&gt;"",Input!Q22,"")</f>
        <v/>
      </c>
      <c r="H24" s="291" t="str">
        <f>IF(B24&lt;&gt;"",Input!R22&amp;" ("&amp;Input!S22&amp;")","")</f>
        <v/>
      </c>
      <c r="I24" s="297" t="str">
        <f>IF(B24&lt;&gt;"",(Input!C43+Input!D43)*100,"")</f>
        <v/>
      </c>
      <c r="K24" s="303"/>
      <c r="M24" s="228" t="s">
        <v>1008</v>
      </c>
      <c r="N24" s="163" t="s">
        <v>1009</v>
      </c>
      <c r="O24" s="298" t="str">
        <f t="shared" si="0"/>
        <v>Hospitality</v>
      </c>
    </row>
    <row r="25" spans="2:15" ht="15" customHeight="1">
      <c r="B25" s="501" t="s">
        <v>1320</v>
      </c>
      <c r="C25" s="501"/>
      <c r="D25" s="501"/>
      <c r="E25" s="501"/>
      <c r="F25" s="501"/>
      <c r="G25" s="501"/>
      <c r="H25" s="501"/>
      <c r="I25" s="501"/>
      <c r="K25" t="s">
        <v>1371</v>
      </c>
      <c r="M25" s="228"/>
      <c r="N25" s="163"/>
      <c r="O25" s="298">
        <f t="shared" si="0"/>
        <v>0</v>
      </c>
    </row>
    <row r="26" spans="2:15" ht="15" customHeight="1">
      <c r="B26" s="502" t="s">
        <v>1011</v>
      </c>
      <c r="C26" s="502"/>
      <c r="D26" s="502"/>
      <c r="E26" s="502"/>
      <c r="F26" s="502"/>
      <c r="G26" s="502"/>
      <c r="H26" s="502"/>
      <c r="I26" s="502"/>
      <c r="K26" s="320" t="s">
        <v>85</v>
      </c>
      <c r="M26" s="228"/>
      <c r="N26" s="163"/>
      <c r="O26" s="298">
        <f t="shared" si="0"/>
        <v>0</v>
      </c>
    </row>
    <row r="27" spans="2:15" ht="15" customHeight="1" thickBot="1">
      <c r="B27" s="499" t="str">
        <f>"Note: Directorships, committee membership and committee chairmanship includes such positions in "&amp;Calculations_Sheet!B18</f>
        <v>Note: Directorships, committee membership and committee chairmanship includes such positions in UltraTech Cem.</v>
      </c>
      <c r="C27" s="499"/>
      <c r="D27" s="499"/>
      <c r="E27" s="499"/>
      <c r="F27" s="499"/>
      <c r="G27" s="499"/>
      <c r="H27" s="499"/>
      <c r="I27" s="499"/>
      <c r="K27" s="319" t="s">
        <v>858</v>
      </c>
      <c r="M27" s="228"/>
      <c r="N27" s="163"/>
      <c r="O27" s="298">
        <f t="shared" si="0"/>
        <v>0</v>
      </c>
    </row>
    <row r="28" spans="2:15" ht="18.75" customHeight="1" thickBot="1">
      <c r="B28" s="500" t="s">
        <v>1262</v>
      </c>
      <c r="C28" s="500"/>
      <c r="D28" s="500"/>
      <c r="E28" s="500"/>
      <c r="F28" s="500"/>
      <c r="G28" s="500"/>
      <c r="H28" s="500"/>
      <c r="I28" s="500"/>
      <c r="K28" s="319" t="s">
        <v>855</v>
      </c>
      <c r="M28" s="228"/>
      <c r="N28" s="163"/>
      <c r="O28" s="298">
        <f t="shared" si="0"/>
        <v>0</v>
      </c>
    </row>
    <row r="29" spans="2:15" ht="15" customHeight="1">
      <c r="F29" s="454"/>
      <c r="K29" s="319" t="s">
        <v>870</v>
      </c>
      <c r="M29" s="228"/>
      <c r="N29" s="163"/>
      <c r="O29" s="298">
        <f t="shared" si="0"/>
        <v>0</v>
      </c>
    </row>
    <row r="30" spans="2:15" ht="15" customHeight="1">
      <c r="F30" s="455"/>
      <c r="K30" s="319" t="s">
        <v>861</v>
      </c>
      <c r="M30" s="228"/>
      <c r="N30" s="163"/>
      <c r="O30" s="298">
        <f t="shared" si="0"/>
        <v>0</v>
      </c>
    </row>
    <row r="31" spans="2:15" ht="15" customHeight="1">
      <c r="F31" s="455"/>
      <c r="K31" s="319"/>
      <c r="M31" s="228"/>
      <c r="N31" s="163"/>
      <c r="O31" s="298">
        <f t="shared" si="0"/>
        <v>0</v>
      </c>
    </row>
    <row r="32" spans="2:15" ht="21" customHeight="1">
      <c r="F32" s="455"/>
      <c r="K32" s="319"/>
      <c r="M32" s="228"/>
      <c r="N32" s="163"/>
      <c r="O32" s="298">
        <f t="shared" si="0"/>
        <v>0</v>
      </c>
    </row>
    <row r="33" spans="2:15" ht="15" customHeight="1">
      <c r="F33" s="455"/>
      <c r="K33" s="319"/>
      <c r="M33" s="228"/>
      <c r="N33" s="163"/>
      <c r="O33" s="298">
        <f t="shared" si="0"/>
        <v>0</v>
      </c>
    </row>
    <row r="34" spans="2:15" ht="15" customHeight="1">
      <c r="F34" s="455"/>
      <c r="K34" s="319"/>
      <c r="M34" s="228"/>
      <c r="N34" s="163"/>
      <c r="O34" s="298">
        <f t="shared" si="0"/>
        <v>0</v>
      </c>
    </row>
    <row r="35" spans="2:15" ht="15" customHeight="1">
      <c r="F35" s="455"/>
      <c r="K35" s="319"/>
      <c r="M35" s="228"/>
      <c r="N35" s="163"/>
      <c r="O35" s="298">
        <f t="shared" si="0"/>
        <v>0</v>
      </c>
    </row>
    <row r="36" spans="2:15" ht="15" customHeight="1">
      <c r="F36" s="455"/>
    </row>
    <row r="37" spans="2:15" ht="15" customHeight="1">
      <c r="F37" s="455"/>
    </row>
    <row r="38" spans="2:15" ht="15" customHeight="1">
      <c r="B38" s="503" t="s">
        <v>1398</v>
      </c>
      <c r="C38" s="503"/>
      <c r="D38" s="503"/>
      <c r="E38" s="503"/>
      <c r="F38" s="505" t="s">
        <v>1399</v>
      </c>
      <c r="G38" s="506"/>
      <c r="H38" s="506"/>
      <c r="I38" s="506"/>
    </row>
    <row r="39" spans="2:15" ht="15" customHeight="1">
      <c r="B39" s="503"/>
      <c r="C39" s="503"/>
      <c r="D39" s="503"/>
      <c r="E39" s="503"/>
      <c r="F39" s="505"/>
      <c r="G39" s="506"/>
      <c r="H39" s="506"/>
      <c r="I39" s="506"/>
    </row>
    <row r="40" spans="2:15" ht="15" customHeight="1">
      <c r="B40" s="503"/>
      <c r="C40" s="503"/>
      <c r="D40" s="503"/>
      <c r="E40" s="503"/>
      <c r="F40" s="505"/>
      <c r="G40" s="506"/>
      <c r="H40" s="506"/>
      <c r="I40" s="506"/>
    </row>
    <row r="41" spans="2:15" ht="15" customHeight="1" thickBot="1">
      <c r="B41" s="504"/>
      <c r="C41" s="504"/>
      <c r="D41" s="504"/>
      <c r="E41" s="504"/>
      <c r="F41" s="507"/>
      <c r="G41" s="504"/>
      <c r="H41" s="504"/>
      <c r="I41" s="504"/>
    </row>
  </sheetData>
  <mergeCells count="14">
    <mergeCell ref="B38:E41"/>
    <mergeCell ref="F38:I41"/>
    <mergeCell ref="B2:I2"/>
    <mergeCell ref="B3:B4"/>
    <mergeCell ref="D3:D4"/>
    <mergeCell ref="E3:E4"/>
    <mergeCell ref="F3:F4"/>
    <mergeCell ref="G3:G4"/>
    <mergeCell ref="H3:H4"/>
    <mergeCell ref="K3:K4"/>
    <mergeCell ref="B27:I27"/>
    <mergeCell ref="B28:I28"/>
    <mergeCell ref="B25:I25"/>
    <mergeCell ref="B26:I26"/>
  </mergeCells>
  <dataValidations count="1">
    <dataValidation type="list" allowBlank="1" showInputMessage="1" showErrorMessage="1" sqref="K5:K24">
      <formula1>"Up"</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OFFSET(Input!$B$3,0,0,Total_Directors,1)</xm:f>
          </x14:formula1>
          <xm:sqref>K27:K35</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enableFormatConditionsCalculation="0">
    <tabColor rgb="FF0070C0"/>
  </sheetPr>
  <dimension ref="A1:U26"/>
  <sheetViews>
    <sheetView showGridLines="0" topLeftCell="G7" zoomScale="90" zoomScaleNormal="115" zoomScalePageLayoutView="115" workbookViewId="0">
      <selection activeCell="L19" sqref="L19"/>
    </sheetView>
  </sheetViews>
  <sheetFormatPr baseColWidth="10" defaultColWidth="8.83203125" defaultRowHeight="14" x14ac:dyDescent="0"/>
  <cols>
    <col min="1" max="1" width="3.83203125" customWidth="1"/>
    <col min="2" max="2" width="14.33203125" customWidth="1"/>
    <col min="3" max="3" width="9" customWidth="1"/>
    <col min="4" max="8" width="10.1640625" customWidth="1"/>
    <col min="9" max="9" width="10.5" customWidth="1"/>
    <col min="10" max="10" width="3.5" style="375" customWidth="1"/>
    <col min="11" max="11" width="58.1640625" customWidth="1"/>
    <col min="12" max="12" width="7.83203125" bestFit="1" customWidth="1"/>
    <col min="13" max="13" width="10.6640625" customWidth="1"/>
  </cols>
  <sheetData>
    <row r="1" spans="1:16">
      <c r="A1" t="s">
        <v>1301</v>
      </c>
    </row>
    <row r="2" spans="1:16" ht="15" customHeight="1" thickBot="1">
      <c r="J2"/>
    </row>
    <row r="3" spans="1:16" ht="15" thickBot="1">
      <c r="B3" s="508" t="s">
        <v>818</v>
      </c>
      <c r="C3" s="508"/>
      <c r="D3" s="508"/>
      <c r="E3" s="508"/>
      <c r="F3" s="508"/>
      <c r="G3" s="508"/>
      <c r="H3" s="508"/>
      <c r="I3" s="508"/>
      <c r="J3" s="376"/>
      <c r="K3" s="529" t="s">
        <v>1372</v>
      </c>
      <c r="L3" s="529"/>
      <c r="M3" s="529"/>
      <c r="N3" s="529"/>
    </row>
    <row r="4" spans="1:16" ht="15" thickBot="1">
      <c r="B4" s="516" t="s">
        <v>1419</v>
      </c>
      <c r="C4" s="518" t="s">
        <v>831</v>
      </c>
      <c r="D4" s="520" t="s">
        <v>808</v>
      </c>
      <c r="E4" s="520"/>
      <c r="F4" s="520" t="s">
        <v>809</v>
      </c>
      <c r="G4" s="520"/>
      <c r="H4" s="518" t="s">
        <v>810</v>
      </c>
      <c r="I4" s="518" t="s">
        <v>811</v>
      </c>
      <c r="J4" s="372"/>
      <c r="K4" s="528" t="s">
        <v>807</v>
      </c>
      <c r="L4" s="528"/>
      <c r="M4" s="528" t="s">
        <v>810</v>
      </c>
      <c r="N4" s="528" t="s">
        <v>811</v>
      </c>
    </row>
    <row r="5" spans="1:16">
      <c r="B5" s="517"/>
      <c r="C5" s="519"/>
      <c r="D5" s="371" t="s">
        <v>812</v>
      </c>
      <c r="E5" s="329" t="s">
        <v>813</v>
      </c>
      <c r="F5" s="371" t="s">
        <v>812</v>
      </c>
      <c r="G5" s="371" t="s">
        <v>814</v>
      </c>
      <c r="H5" s="519"/>
      <c r="I5" s="519"/>
      <c r="J5" s="372"/>
      <c r="K5" s="528"/>
      <c r="L5" s="528"/>
      <c r="M5" s="528"/>
      <c r="N5" s="528"/>
    </row>
    <row r="6" spans="1:16">
      <c r="B6" s="356" t="s">
        <v>815</v>
      </c>
      <c r="C6" s="330">
        <f>Output!C6</f>
        <v>4</v>
      </c>
      <c r="D6" s="344" t="str">
        <f ca="1">Output!H6</f>
        <v>ID</v>
      </c>
      <c r="E6" s="331" t="str">
        <f ca="1">Output!K6</f>
        <v>NED</v>
      </c>
      <c r="F6" s="347">
        <f ca="1">Output!G6</f>
        <v>0.75</v>
      </c>
      <c r="G6" s="350">
        <f ca="1">Output!J6</f>
        <v>0</v>
      </c>
      <c r="H6" s="352">
        <f>Output!M6</f>
        <v>4</v>
      </c>
      <c r="I6" s="332">
        <f>Output!O6</f>
        <v>0</v>
      </c>
      <c r="J6" s="373"/>
      <c r="K6" s="422"/>
      <c r="L6" s="422"/>
      <c r="M6" s="423"/>
      <c r="N6" s="424"/>
    </row>
    <row r="7" spans="1:16">
      <c r="B7" s="357" t="s">
        <v>820</v>
      </c>
      <c r="C7" s="333">
        <f>Output!C7</f>
        <v>4</v>
      </c>
      <c r="D7" s="345" t="str">
        <f ca="1">Output!H7</f>
        <v>ID</v>
      </c>
      <c r="E7" s="334" t="str">
        <f ca="1">Output!K7</f>
        <v>NED</v>
      </c>
      <c r="F7" s="348">
        <f ca="1">Output!G7</f>
        <v>0.75</v>
      </c>
      <c r="G7" s="351">
        <f ca="1">Output!J7</f>
        <v>0.5</v>
      </c>
      <c r="H7" s="353">
        <f>M7</f>
        <v>4</v>
      </c>
      <c r="I7" s="333">
        <f>N7</f>
        <v>3</v>
      </c>
      <c r="J7" s="373"/>
      <c r="K7" s="422" t="s">
        <v>820</v>
      </c>
      <c r="L7" s="422"/>
      <c r="M7" s="425">
        <v>4</v>
      </c>
      <c r="N7" s="425">
        <v>3</v>
      </c>
    </row>
    <row r="8" spans="1:16">
      <c r="B8" s="356" t="s">
        <v>816</v>
      </c>
      <c r="C8" s="332">
        <f>Output!C8</f>
        <v>3</v>
      </c>
      <c r="D8" s="346" t="str">
        <f ca="1">Output!H8</f>
        <v>ID</v>
      </c>
      <c r="E8" s="335" t="str">
        <f ca="1">Output!K8</f>
        <v>NED</v>
      </c>
      <c r="F8" s="347">
        <f ca="1">Output!G8</f>
        <v>0.33333333333333331</v>
      </c>
      <c r="G8" s="350">
        <f ca="1">Output!J8</f>
        <v>0</v>
      </c>
      <c r="H8" s="354">
        <f>Output!M8</f>
        <v>1</v>
      </c>
      <c r="I8" s="332">
        <f>Output!O8</f>
        <v>0</v>
      </c>
      <c r="J8" s="373"/>
      <c r="K8" s="422"/>
      <c r="L8" s="422"/>
      <c r="M8" s="424"/>
      <c r="N8" s="424"/>
    </row>
    <row r="9" spans="1:16">
      <c r="B9" s="357" t="s">
        <v>817</v>
      </c>
      <c r="C9" s="428">
        <f>Output!C9</f>
        <v>0</v>
      </c>
      <c r="D9" s="345" t="str">
        <f ca="1">Output!H9</f>
        <v>NA</v>
      </c>
      <c r="E9" s="418" t="str">
        <f ca="1">Output!K9</f>
        <v>NA</v>
      </c>
      <c r="F9" s="348" t="str">
        <f>Output!G9</f>
        <v>NA</v>
      </c>
      <c r="G9" s="398" t="str">
        <f>Output!J9</f>
        <v>NA</v>
      </c>
      <c r="H9" s="419">
        <f>Output!M9</f>
        <v>0</v>
      </c>
      <c r="I9" s="397">
        <f>Output!O9</f>
        <v>0</v>
      </c>
      <c r="J9" s="373"/>
      <c r="K9" s="422"/>
      <c r="L9" s="422"/>
      <c r="M9" s="426"/>
      <c r="N9" s="427"/>
    </row>
    <row r="10" spans="1:16">
      <c r="B10" s="399" t="s">
        <v>1308</v>
      </c>
      <c r="C10" s="429">
        <f>Output!C107</f>
        <v>0</v>
      </c>
      <c r="D10" s="429" t="str">
        <f ca="1">Output!H107</f>
        <v>NA</v>
      </c>
      <c r="E10" s="429" t="str">
        <f ca="1">Output!K107</f>
        <v>NA</v>
      </c>
      <c r="F10" s="396" t="str">
        <f>Output!G107</f>
        <v>NA</v>
      </c>
      <c r="G10" s="396" t="str">
        <f>Output!J107</f>
        <v>NA</v>
      </c>
      <c r="H10" s="400">
        <f>M10</f>
        <v>5</v>
      </c>
      <c r="I10" s="400">
        <f>N10</f>
        <v>3</v>
      </c>
      <c r="J10" s="373"/>
      <c r="K10" s="422" t="s">
        <v>1308</v>
      </c>
      <c r="L10" s="422"/>
      <c r="M10" s="425">
        <v>5</v>
      </c>
      <c r="N10" s="425">
        <v>3</v>
      </c>
    </row>
    <row r="11" spans="1:16" ht="18.75" customHeight="1" thickBot="1">
      <c r="B11" s="358" t="s">
        <v>1309</v>
      </c>
      <c r="C11" s="432">
        <f>Output!C108</f>
        <v>0</v>
      </c>
      <c r="D11" s="431" t="str">
        <f ca="1">Output!H108</f>
        <v>NA</v>
      </c>
      <c r="E11" s="430" t="str">
        <f ca="1">Output!K108</f>
        <v>NA</v>
      </c>
      <c r="F11" s="349" t="str">
        <f>Output!G108</f>
        <v>NA</v>
      </c>
      <c r="G11" s="337" t="str">
        <f>Output!J108</f>
        <v>NA</v>
      </c>
      <c r="H11" s="355">
        <f>M11</f>
        <v>2</v>
      </c>
      <c r="I11" s="336">
        <f>N11</f>
        <v>3</v>
      </c>
      <c r="J11" s="373"/>
      <c r="K11" s="422" t="s">
        <v>1309</v>
      </c>
      <c r="L11" s="422"/>
      <c r="M11" s="425">
        <v>2</v>
      </c>
      <c r="N11" s="425">
        <v>3</v>
      </c>
    </row>
    <row r="12" spans="1:16" ht="15" thickBot="1">
      <c r="B12" s="515" t="s">
        <v>1420</v>
      </c>
      <c r="C12" s="515"/>
      <c r="D12" s="515"/>
      <c r="E12" s="515"/>
      <c r="F12" s="515"/>
      <c r="G12" s="515"/>
      <c r="H12" s="515"/>
      <c r="I12" s="515"/>
      <c r="J12" s="377"/>
    </row>
    <row r="13" spans="1:16" ht="15" thickBot="1">
      <c r="J13" s="377"/>
    </row>
    <row r="14" spans="1:16" ht="15" thickBot="1">
      <c r="B14" s="508" t="s">
        <v>1374</v>
      </c>
      <c r="C14" s="508"/>
      <c r="D14" s="508"/>
      <c r="E14" s="508"/>
      <c r="F14" s="508"/>
      <c r="G14" s="508"/>
      <c r="H14" s="508"/>
      <c r="I14" s="508"/>
      <c r="K14" s="529" t="s">
        <v>1373</v>
      </c>
      <c r="L14" s="529"/>
      <c r="M14" s="529"/>
      <c r="N14" s="529"/>
    </row>
    <row r="15" spans="1:16">
      <c r="B15" s="523" t="s">
        <v>151</v>
      </c>
      <c r="C15" s="523"/>
      <c r="D15" s="523"/>
      <c r="E15" s="523"/>
      <c r="F15" s="523"/>
      <c r="G15" s="385" t="s">
        <v>1277</v>
      </c>
      <c r="H15" s="385" t="s">
        <v>1278</v>
      </c>
      <c r="I15" s="385" t="s">
        <v>1279</v>
      </c>
      <c r="J15" s="378"/>
      <c r="K15" s="374" t="s">
        <v>1280</v>
      </c>
      <c r="L15" s="407">
        <f>COUNTIF(Input!$B$3:$B$22,"&lt;&gt;")-COUNTIF(Input!$D$3:$D$22,"&lt;&gt;")</f>
        <v>9</v>
      </c>
      <c r="P15" t="s">
        <v>1274</v>
      </c>
    </row>
    <row r="16" spans="1:16">
      <c r="B16" s="524" t="s">
        <v>1281</v>
      </c>
      <c r="C16" s="524"/>
      <c r="D16" s="524"/>
      <c r="E16" s="524"/>
      <c r="F16" s="524"/>
      <c r="G16" s="381">
        <f ca="1">L16/L15</f>
        <v>0.55555555555555558</v>
      </c>
      <c r="H16" s="410">
        <f ca="1">IF(G16&lt;50%,0,10)</f>
        <v>10</v>
      </c>
      <c r="I16" s="410">
        <v>10</v>
      </c>
      <c r="J16" s="379"/>
      <c r="K16" s="374" t="s">
        <v>1282</v>
      </c>
      <c r="L16" s="407">
        <f ca="1">(COUNTIF(OFFSET(Input!$G$3,0,0,Total_Directors,1),"="&amp;"ID"))</f>
        <v>5</v>
      </c>
      <c r="P16" t="s">
        <v>1294</v>
      </c>
    </row>
    <row r="17" spans="2:21">
      <c r="B17" s="525" t="s">
        <v>1283</v>
      </c>
      <c r="C17" s="525"/>
      <c r="D17" s="525"/>
      <c r="E17" s="525"/>
      <c r="F17" s="525"/>
      <c r="G17" s="383">
        <f t="shared" ref="G17:G24" ca="1" si="0">L17</f>
        <v>3</v>
      </c>
      <c r="H17" s="411">
        <f ca="1">(L16-L17)/L16*10</f>
        <v>4</v>
      </c>
      <c r="I17" s="411">
        <v>10</v>
      </c>
      <c r="J17" s="379"/>
      <c r="K17" s="374" t="s">
        <v>1284</v>
      </c>
      <c r="L17" s="407">
        <f t="array" aca="1" ref="L17" ca="1">SUMPRODUCT(IF(OFFSET(Input!$G$3,0,0,Total_Directors,1)="ID",1,0),IF(OFFSET(Input!$E$3,0,0,Total_Directors,1)&gt;ID_Tenure_Threshold,1,0))</f>
        <v>3</v>
      </c>
    </row>
    <row r="18" spans="2:21">
      <c r="B18" s="524" t="s">
        <v>1387</v>
      </c>
      <c r="C18" s="524"/>
      <c r="D18" s="524"/>
      <c r="E18" s="524"/>
      <c r="F18" s="524"/>
      <c r="G18" s="382">
        <f t="shared" si="0"/>
        <v>0</v>
      </c>
      <c r="H18" s="410">
        <f ca="1">(L16-L18)/L16*5</f>
        <v>5</v>
      </c>
      <c r="I18" s="410">
        <v>5</v>
      </c>
      <c r="J18" s="379"/>
      <c r="K18" s="374" t="s">
        <v>1285</v>
      </c>
      <c r="L18" s="457">
        <f>COUNTIFS(Calculations_Sheet!$J$53:$J$72,"&gt;10000000",Calculations_Sheet!$H$53:$H$72,"ID")</f>
        <v>0</v>
      </c>
      <c r="M18" s="526" t="s">
        <v>1422</v>
      </c>
      <c r="N18" s="527"/>
      <c r="O18" s="527"/>
      <c r="P18" s="527"/>
      <c r="Q18" s="527"/>
      <c r="R18" s="527"/>
      <c r="S18" s="527"/>
      <c r="T18" s="527"/>
      <c r="U18" s="527"/>
    </row>
    <row r="19" spans="2:21">
      <c r="B19" s="525" t="s">
        <v>1286</v>
      </c>
      <c r="C19" s="525"/>
      <c r="D19" s="525"/>
      <c r="E19" s="525"/>
      <c r="F19" s="525"/>
      <c r="G19" s="383" t="str">
        <f t="shared" si="0"/>
        <v>No</v>
      </c>
      <c r="H19" s="411">
        <f>IF(G19="Yes", 10,0)</f>
        <v>0</v>
      </c>
      <c r="I19" s="411">
        <v>10</v>
      </c>
      <c r="J19" s="379"/>
      <c r="K19" s="374" t="s">
        <v>1287</v>
      </c>
      <c r="L19" s="408" t="str">
        <f>IF(Calculations_Sheet!H53="ID","Yes","No")</f>
        <v>No</v>
      </c>
    </row>
    <row r="20" spans="2:21">
      <c r="B20" s="524" t="s">
        <v>1288</v>
      </c>
      <c r="C20" s="524"/>
      <c r="D20" s="524"/>
      <c r="E20" s="524"/>
      <c r="F20" s="524"/>
      <c r="G20" s="382" t="str">
        <f t="shared" si="0"/>
        <v>Yes</v>
      </c>
      <c r="H20" s="410">
        <f>IF(G20="Yes", 10,0)</f>
        <v>10</v>
      </c>
      <c r="I20" s="410">
        <v>10</v>
      </c>
      <c r="J20" s="379"/>
      <c r="K20" s="374" t="s">
        <v>1289</v>
      </c>
      <c r="L20" s="409" t="s">
        <v>1274</v>
      </c>
    </row>
    <row r="21" spans="2:21">
      <c r="B21" s="525" t="s">
        <v>1290</v>
      </c>
      <c r="C21" s="525"/>
      <c r="D21" s="525"/>
      <c r="E21" s="525"/>
      <c r="F21" s="525"/>
      <c r="G21" s="383">
        <f t="shared" si="0"/>
        <v>0</v>
      </c>
      <c r="H21" s="411">
        <f ca="1">(L16-L21)/L16*10</f>
        <v>10</v>
      </c>
      <c r="I21" s="411">
        <v>10</v>
      </c>
      <c r="J21" s="379"/>
      <c r="K21" s="374" t="s">
        <v>1291</v>
      </c>
      <c r="L21" s="409">
        <v>0</v>
      </c>
    </row>
    <row r="22" spans="2:21">
      <c r="B22" s="524" t="s">
        <v>1292</v>
      </c>
      <c r="C22" s="524"/>
      <c r="D22" s="524"/>
      <c r="E22" s="524"/>
      <c r="F22" s="524"/>
      <c r="G22" s="382" t="str">
        <f t="shared" si="0"/>
        <v>Yes</v>
      </c>
      <c r="H22" s="410">
        <f>IF(L22="Yes",10,0)</f>
        <v>10</v>
      </c>
      <c r="I22" s="410">
        <v>10</v>
      </c>
      <c r="J22" s="379"/>
      <c r="K22" s="374" t="s">
        <v>1292</v>
      </c>
      <c r="L22" s="409" t="s">
        <v>1274</v>
      </c>
    </row>
    <row r="23" spans="2:21">
      <c r="B23" s="525" t="s">
        <v>1293</v>
      </c>
      <c r="C23" s="525"/>
      <c r="D23" s="525"/>
      <c r="E23" s="525"/>
      <c r="F23" s="525"/>
      <c r="G23" s="383" t="str">
        <f>L23</f>
        <v>No</v>
      </c>
      <c r="H23" s="411">
        <f>IF(L23="Yes",0,10)</f>
        <v>10</v>
      </c>
      <c r="I23" s="411">
        <v>10</v>
      </c>
      <c r="J23" s="379"/>
      <c r="K23" s="374" t="s">
        <v>1295</v>
      </c>
      <c r="L23" s="409" t="s">
        <v>1294</v>
      </c>
    </row>
    <row r="24" spans="2:21">
      <c r="B24" s="524" t="s">
        <v>1296</v>
      </c>
      <c r="C24" s="524"/>
      <c r="D24" s="524"/>
      <c r="E24" s="524"/>
      <c r="F24" s="524"/>
      <c r="G24" s="382">
        <f t="shared" si="0"/>
        <v>2</v>
      </c>
      <c r="H24" s="410">
        <f>(L15-L24)/L15*15</f>
        <v>11.666666666666666</v>
      </c>
      <c r="I24" s="410">
        <v>15</v>
      </c>
      <c r="J24" s="379"/>
      <c r="K24" s="374" t="s">
        <v>1297</v>
      </c>
      <c r="L24" s="407">
        <f>COUNTIFS(Director_Classification,"=NEDP",Input!$H$3:$H$22,"&lt;&gt; M(Resign)",Input!$H$3:$H$22,"&lt;&gt; C(Resign)")+COUNTIFS(Director_Classification,"=EDP",Input!$H$3:$H$22,"&lt;&gt; M(Resign)",Input!$H$3:$H$22,"&lt;&gt; C(Resign)")</f>
        <v>2</v>
      </c>
    </row>
    <row r="25" spans="2:21">
      <c r="B25" s="521" t="s">
        <v>1298</v>
      </c>
      <c r="C25" s="521"/>
      <c r="D25" s="521"/>
      <c r="E25" s="521"/>
      <c r="F25" s="521"/>
      <c r="G25" s="383" t="str">
        <f>L25</f>
        <v>Yes</v>
      </c>
      <c r="H25" s="411">
        <f>IF(G25="Yes", 10,0)</f>
        <v>10</v>
      </c>
      <c r="I25" s="411">
        <v>10</v>
      </c>
      <c r="J25" s="379"/>
      <c r="K25" s="374" t="s">
        <v>1299</v>
      </c>
      <c r="L25" s="409" t="s">
        <v>1274</v>
      </c>
    </row>
    <row r="26" spans="2:21">
      <c r="B26" s="522" t="s">
        <v>1278</v>
      </c>
      <c r="C26" s="522"/>
      <c r="D26" s="522"/>
      <c r="E26" s="522"/>
      <c r="F26" s="522"/>
      <c r="G26" s="384"/>
      <c r="H26" s="412">
        <f ca="1">SUM(H16:H25)</f>
        <v>80.666666666666671</v>
      </c>
      <c r="I26" s="412">
        <f>SUM(I16:I25)</f>
        <v>100</v>
      </c>
      <c r="J26" s="380"/>
      <c r="K26" s="132"/>
      <c r="L26" s="132"/>
    </row>
  </sheetData>
  <mergeCells count="27">
    <mergeCell ref="M18:U18"/>
    <mergeCell ref="K4:L5"/>
    <mergeCell ref="M4:M5"/>
    <mergeCell ref="N4:N5"/>
    <mergeCell ref="K3:N3"/>
    <mergeCell ref="K14:N14"/>
    <mergeCell ref="B14:I14"/>
    <mergeCell ref="B21:F21"/>
    <mergeCell ref="B22:F22"/>
    <mergeCell ref="B23:F23"/>
    <mergeCell ref="B24:F24"/>
    <mergeCell ref="B25:F25"/>
    <mergeCell ref="B26:F26"/>
    <mergeCell ref="B15:F15"/>
    <mergeCell ref="B16:F16"/>
    <mergeCell ref="B17:F17"/>
    <mergeCell ref="B18:F18"/>
    <mergeCell ref="B19:F19"/>
    <mergeCell ref="B20:F20"/>
    <mergeCell ref="B12:I12"/>
    <mergeCell ref="B3:I3"/>
    <mergeCell ref="B4:B5"/>
    <mergeCell ref="C4:C5"/>
    <mergeCell ref="D4:E4"/>
    <mergeCell ref="F4:G4"/>
    <mergeCell ref="H4:H5"/>
    <mergeCell ref="I4:I5"/>
  </mergeCells>
  <dataValidations count="1">
    <dataValidation type="list" allowBlank="1" showInputMessage="1" showErrorMessage="1" sqref="L25 L22:L23 L20">
      <formula1>$P$15:$P$16</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enableFormatConditionsCalculation="0">
    <tabColor rgb="FF0070C0"/>
  </sheetPr>
  <dimension ref="A1:S36"/>
  <sheetViews>
    <sheetView showGridLines="0" workbookViewId="0">
      <selection activeCell="F24" sqref="F24:G24"/>
    </sheetView>
  </sheetViews>
  <sheetFormatPr baseColWidth="10" defaultColWidth="9.1640625" defaultRowHeight="15" customHeight="1" x14ac:dyDescent="0"/>
  <cols>
    <col min="1" max="1" width="2.83203125" style="236" customWidth="1"/>
    <col min="2" max="2" width="18.5" style="236" customWidth="1"/>
    <col min="3" max="3" width="5.6640625" style="236" customWidth="1"/>
    <col min="4" max="5" width="10.1640625" style="236" customWidth="1"/>
    <col min="6" max="9" width="9.5" style="236" customWidth="1"/>
    <col min="10" max="10" width="1.5" style="270" customWidth="1"/>
    <col min="11" max="11" width="5" style="236" customWidth="1"/>
    <col min="12" max="12" width="19.1640625" style="236" bestFit="1" customWidth="1"/>
    <col min="13" max="13" width="21.5" style="236" bestFit="1" customWidth="1"/>
    <col min="14" max="14" width="20.5" style="236" bestFit="1" customWidth="1"/>
    <col min="15" max="15" width="16.83203125" style="236" bestFit="1" customWidth="1"/>
    <col min="16" max="16" width="12.1640625" style="236" bestFit="1" customWidth="1"/>
    <col min="17" max="16384" width="9.1640625" style="236"/>
  </cols>
  <sheetData>
    <row r="1" spans="1:19" ht="15" customHeight="1" thickBot="1">
      <c r="A1" s="236" t="s">
        <v>1312</v>
      </c>
      <c r="O1"/>
      <c r="P1"/>
    </row>
    <row r="2" spans="1:19" ht="15" customHeight="1" thickBot="1">
      <c r="B2" s="220" t="s">
        <v>1375</v>
      </c>
      <c r="C2" s="220"/>
      <c r="D2" s="220"/>
      <c r="E2" s="220"/>
      <c r="F2" s="220"/>
      <c r="G2" s="220"/>
      <c r="H2" s="220"/>
      <c r="I2" s="220"/>
      <c r="O2"/>
      <c r="P2"/>
    </row>
    <row r="3" spans="1:19" ht="18.75" customHeight="1" thickBot="1">
      <c r="B3" s="544" t="s">
        <v>1384</v>
      </c>
      <c r="C3" s="544"/>
      <c r="D3" s="550">
        <v>2015</v>
      </c>
      <c r="E3" s="550"/>
      <c r="F3" s="550">
        <v>2014</v>
      </c>
      <c r="G3" s="550"/>
      <c r="H3" s="550">
        <v>2013</v>
      </c>
      <c r="I3" s="550"/>
      <c r="J3" s="271"/>
      <c r="L3" s="256" t="s">
        <v>791</v>
      </c>
      <c r="M3" s="259" t="s">
        <v>1303</v>
      </c>
      <c r="N3" s="260" t="s">
        <v>993</v>
      </c>
      <c r="O3" s="132"/>
      <c r="P3" s="132"/>
      <c r="Q3" s="252"/>
      <c r="R3" s="252"/>
      <c r="S3" s="252"/>
    </row>
    <row r="4" spans="1:19" ht="15" customHeight="1" thickBot="1">
      <c r="B4" s="545"/>
      <c r="C4" s="546"/>
      <c r="D4" s="304" t="s">
        <v>236</v>
      </c>
      <c r="E4" s="304" t="s">
        <v>95</v>
      </c>
      <c r="F4" s="304" t="s">
        <v>236</v>
      </c>
      <c r="G4" s="304" t="s">
        <v>95</v>
      </c>
      <c r="H4" s="304" t="s">
        <v>236</v>
      </c>
      <c r="I4" s="304" t="s">
        <v>95</v>
      </c>
      <c r="J4" s="272"/>
      <c r="L4" s="257">
        <v>2011</v>
      </c>
      <c r="M4" s="265">
        <f t="array" aca="1" ref="M4" ca="1">OFFSET(Input!$B$23,MATCH("MD",RIGHT(Input!$H$3:$H$22,2),0),MATCH(L4&amp;" Variable Pay",Input!$C$23:$N$23,0))+OFFSET(Input!$B$23,MATCH("MD",RIGHT(Input!$H$3:$H$22,2),0),MATCH(L4&amp;" Fixed Pay",Input!$C$23:$N$23,0))</f>
        <v>0.01</v>
      </c>
      <c r="N4" s="267">
        <f>(N11+P11)/$M$11*100</f>
        <v>265.85497835497836</v>
      </c>
      <c r="O4" s="154"/>
      <c r="P4" s="154"/>
      <c r="Q4" s="254"/>
    </row>
    <row r="5" spans="1:19" ht="15" customHeight="1">
      <c r="B5" s="392" t="s">
        <v>851</v>
      </c>
      <c r="C5" s="388" t="s">
        <v>1302</v>
      </c>
      <c r="D5" s="305">
        <f ca="1">IF($B5="","",VLOOKUP($B5,OFFSET(Input!$B$24,0,0,Total_Directors,8),MATCH(D$3&amp;" "&amp;D$4,Input!$C$23:$N$23,0)+1,0))</f>
        <v>1.35E-2</v>
      </c>
      <c r="E5" s="305">
        <f ca="1">IF($B5="","",D5+VLOOKUP($B5,OFFSET(Input!$B$24,0,0,Total_Directors,8),MATCH(D$3&amp;" Variable Pay",Input!$C$23:$N$23,0)+1,0))</f>
        <v>1.35E-2</v>
      </c>
      <c r="F5" s="305">
        <f ca="1">IF($B5="","",VLOOKUP($B5,OFFSET(Input!$B$24,0,0,Total_Directors,8),MATCH(F$3&amp;" "&amp;F$4,Input!$C$23:$N$23,0)+1,0))</f>
        <v>1.6500000000000001E-2</v>
      </c>
      <c r="G5" s="305">
        <f ca="1">IF($B5="","",F5+VLOOKUP($B5,OFFSET(Input!$B$24,0,0,Total_Directors,8),MATCH(F$3&amp;" Variable Pay",Input!$C$23:$N$23,0)+1,0))</f>
        <v>1.6500000000000001E-2</v>
      </c>
      <c r="H5" s="305">
        <f ca="1">IF($B5="","",VLOOKUP($B5,OFFSET(Input!$B$24,0,0,Total_Directors,8),MATCH(H$3&amp;" "&amp;H$4,Input!$C$23:$N$23,0)+1,0))</f>
        <v>1.4999999999999999E-2</v>
      </c>
      <c r="I5" s="305">
        <f ca="1">IF($B5="","",H5+VLOOKUP($B5,OFFSET(Input!$B$24,0,0,Total_Directors,8),MATCH(H$3&amp;" Variable Pay",Input!$C$23:$N$23,0)+1,0))</f>
        <v>1.4999999999999999E-2</v>
      </c>
      <c r="J5" s="273"/>
      <c r="L5" s="257">
        <v>2012</v>
      </c>
      <c r="M5" s="265">
        <f t="array" aca="1" ref="M5" ca="1">OFFSET(Input!$B$23,MATCH("MD",RIGHT(Input!$H$3:$H$22,2),0),MATCH(L5&amp;" Variable Pay",Input!$C$23:$N$23,0))+OFFSET(Input!$B$23,MATCH("MD",RIGHT(Input!$H$3:$H$22,2),0),MATCH(L5&amp;" Fixed Pay",Input!$C$23:$N$23,0))</f>
        <v>1.4E-2</v>
      </c>
      <c r="N5" s="267">
        <f>(N12+P12)/$M$11*100</f>
        <v>470.77922077922079</v>
      </c>
      <c r="O5" s="154"/>
      <c r="P5" s="154"/>
      <c r="Q5" s="254"/>
    </row>
    <row r="6" spans="1:19" ht="15" customHeight="1">
      <c r="B6" s="393" t="s">
        <v>874</v>
      </c>
      <c r="C6" s="389"/>
      <c r="D6" s="306">
        <f ca="1">IF($B6="","",VLOOKUP($B6,OFFSET(Input!$B$24,0,0,Total_Directors,8),MATCH(D$3&amp;" "&amp;D$4,Input!$C$23:$N$23,0)+1,0))</f>
        <v>2.15</v>
      </c>
      <c r="E6" s="306">
        <f ca="1">IF($B6="","",D6+VLOOKUP($B6,OFFSET(Input!$B$24,0,0,Total_Directors,8),MATCH(D$3&amp;" Variable Pay",Input!$C$23:$N$23,0)+1,0))</f>
        <v>2.15</v>
      </c>
      <c r="F6" s="306">
        <f ca="1">IF($B6="","",VLOOKUP($B6,OFFSET(Input!$B$24,0,0,Total_Directors,8),MATCH(F$3&amp;" "&amp;F$4,Input!$C$23:$N$23,0)+1,0))</f>
        <v>1.74</v>
      </c>
      <c r="G6" s="306">
        <f ca="1">IF($B6="","",F6+VLOOKUP($B6,OFFSET(Input!$B$24,0,0,Total_Directors,8),MATCH(F$3&amp;" Variable Pay",Input!$C$23:$N$23,0)+1,0))</f>
        <v>1.74</v>
      </c>
      <c r="H6" s="306">
        <f ca="1">IF($B6="","",VLOOKUP($B6,OFFSET(Input!$B$24,0,0,Total_Directors,8),MATCH(H$3&amp;" "&amp;H$4,Input!$C$23:$N$23,0)+1,0))</f>
        <v>0.47</v>
      </c>
      <c r="I6" s="306">
        <f ca="1">IF($B6="","",H6+VLOOKUP($B6,OFFSET(Input!$B$24,0,0,Total_Directors,8),MATCH(H$3&amp;" Variable Pay",Input!$C$23:$N$23,0)+1,0))</f>
        <v>0.47</v>
      </c>
      <c r="J6" s="274"/>
      <c r="L6" s="257">
        <v>2013</v>
      </c>
      <c r="M6" s="265">
        <f t="array" aca="1" ref="M6" ca="1">OFFSET(Input!$B$23,MATCH("MD",RIGHT(Input!$H$3:$H$22,2),0),MATCH(L6&amp;" Variable Pay",Input!$C$23:$N$23,0))+OFFSET(Input!$B$23,MATCH("MD",RIGHT(Input!$H$3:$H$22,2),0),MATCH(L6&amp;" Fixed Pay",Input!$C$23:$N$23,0))</f>
        <v>1.4999999999999999E-2</v>
      </c>
      <c r="N6" s="267">
        <f>(N13+P13)/$M$11*100</f>
        <v>790.63852813852816</v>
      </c>
      <c r="O6" s="154"/>
      <c r="P6" s="154"/>
      <c r="Q6" s="254"/>
      <c r="R6" s="254"/>
      <c r="S6" s="254"/>
    </row>
    <row r="7" spans="1:19" ht="15" customHeight="1">
      <c r="B7" s="394" t="s">
        <v>873</v>
      </c>
      <c r="C7" s="391"/>
      <c r="D7" s="307">
        <f ca="1">IF($B7="","",VLOOKUP($B7,OFFSET(Input!$B$24,0,0,Total_Directors,8),MATCH(D$3&amp;" "&amp;D$4,Input!$C$23:$N$23,0)+1,0))</f>
        <v>0.72</v>
      </c>
      <c r="E7" s="307">
        <f ca="1">IF($B7="","",D7+VLOOKUP($B7,OFFSET(Input!$B$24,0,0,Total_Directors,8),MATCH(D$3&amp;" Variable Pay",Input!$C$23:$N$23,0)+1,0))</f>
        <v>0.72</v>
      </c>
      <c r="F7" s="307">
        <f ca="1">IF($B7="","",VLOOKUP($B7,OFFSET(Input!$B$24,0,0,Total_Directors,8),MATCH(F$3&amp;" "&amp;F$4,Input!$C$23:$N$23,0)+1,0))</f>
        <v>0.62</v>
      </c>
      <c r="G7" s="307">
        <f ca="1">IF($B7="","",F7+VLOOKUP($B7,OFFSET(Input!$B$24,0,0,Total_Directors,8),MATCH(F$3&amp;" Variable Pay",Input!$C$23:$N$23,0)+1,0))</f>
        <v>0.62</v>
      </c>
      <c r="H7" s="307">
        <f ca="1">IF($B7="","",VLOOKUP($B7,OFFSET(Input!$B$24,0,0,Total_Directors,8),MATCH(H$3&amp;" "&amp;H$4,Input!$C$23:$N$23,0)+1,0))</f>
        <v>1.44</v>
      </c>
      <c r="I7" s="307">
        <f ca="1">IF($B7="","",H7+VLOOKUP($B7,OFFSET(Input!$B$24,0,0,Total_Directors,8),MATCH(H$3&amp;" Variable Pay",Input!$C$23:$N$23,0)+1,0))</f>
        <v>1.44</v>
      </c>
      <c r="J7" s="275"/>
      <c r="L7" s="257">
        <v>2014</v>
      </c>
      <c r="M7" s="265">
        <f t="array" aca="1" ref="M7" ca="1">OFFSET(Input!$B$23,MATCH("MD",RIGHT(Input!$H$3:$H$22,2),0),MATCH(L7&amp;" Variable Pay",Input!$C$23:$N$23,0))+OFFSET(Input!$B$23,MATCH("MD",RIGHT(Input!$H$3:$H$22,2),0),MATCH(L7&amp;" Fixed Pay",Input!$C$23:$N$23,0))</f>
        <v>1.6500000000000001E-2</v>
      </c>
      <c r="N7" s="267">
        <f>(N14+P14)/$M$11*100</f>
        <v>1293.2900432900433</v>
      </c>
      <c r="O7" s="154"/>
      <c r="P7" s="154"/>
      <c r="Q7" s="254"/>
      <c r="R7" s="254"/>
      <c r="S7" s="254"/>
    </row>
    <row r="8" spans="1:19" ht="15" customHeight="1" thickBot="1">
      <c r="B8" s="395"/>
      <c r="C8" s="390"/>
      <c r="D8" s="308" t="str">
        <f ca="1">IF($B8="","",VLOOKUP($B8,OFFSET(Input!$B$24,0,0,Total_Directors,8),MATCH(D$3&amp;" "&amp;D$4,Input!$C$23:$N$23,0)+1,0))</f>
        <v/>
      </c>
      <c r="E8" s="308" t="str">
        <f ca="1">IF($B8="","",D8+VLOOKUP($B8,OFFSET(Input!$B$24,0,0,Total_Directors,8),MATCH(D$3&amp;" Variable Pay",Input!$C$23:$N$23,0)+1,0))</f>
        <v/>
      </c>
      <c r="F8" s="308" t="str">
        <f ca="1">IF($B8="","",VLOOKUP($B8,OFFSET(Input!$B$24,0,0,Total_Directors,8),MATCH(F$3&amp;" "&amp;F$4,Input!$C$23:$N$23,0)+1,0))</f>
        <v/>
      </c>
      <c r="G8" s="308" t="str">
        <f ca="1">IF($B8="","",F8+VLOOKUP($B8,OFFSET(Input!$B$24,0,0,Total_Directors,8),MATCH(F$3&amp;" Variable Pay",Input!$C$23:$N$23,0)+1,0))</f>
        <v/>
      </c>
      <c r="H8" s="308" t="str">
        <f ca="1">IF($B8="","",VLOOKUP($B8,OFFSET(Input!$B$24,0,0,Total_Directors,8),MATCH(H$3&amp;" "&amp;H$4,Input!$C$23:$N$23,0)+1,0))</f>
        <v/>
      </c>
      <c r="I8" s="308" t="str">
        <f ca="1">IF($B8="","",H8+VLOOKUP($B8,OFFSET(Input!$B$24,0,0,Total_Directors,8),MATCH(H$3&amp;" Variable Pay",Input!$C$23:$N$23,0)+1,0))</f>
        <v/>
      </c>
      <c r="J8" s="275"/>
      <c r="L8" s="258">
        <v>2015</v>
      </c>
      <c r="M8" s="266">
        <f t="array" aca="1" ref="M8" ca="1">OFFSET(Input!$B$23,MATCH("MD",RIGHT(Input!$H$3:$H$22,2),0),MATCH(L8&amp;" Variable Pay",Input!$C$23:$N$23,0))+OFFSET(Input!$B$23,MATCH("MD",RIGHT(Input!$H$3:$H$22,2),0),MATCH(L8&amp;" Fixed Pay",Input!$C$23:$N$23,0))</f>
        <v>1.35E-2</v>
      </c>
      <c r="N8" s="268" t="e">
        <f>(N15+P15)/$M$11*100</f>
        <v>#VALUE!</v>
      </c>
      <c r="O8" s="154"/>
      <c r="P8" s="154"/>
      <c r="Q8" s="254"/>
      <c r="R8" s="254"/>
      <c r="S8" s="254"/>
    </row>
    <row r="9" spans="1:19" ht="15" customHeight="1" thickBot="1">
      <c r="B9" s="551" t="s">
        <v>230</v>
      </c>
      <c r="C9" s="551"/>
      <c r="D9" s="551"/>
      <c r="E9" s="551"/>
      <c r="F9" s="551"/>
      <c r="G9" s="551"/>
      <c r="H9" s="551"/>
      <c r="I9" s="551"/>
      <c r="J9" s="275"/>
      <c r="L9" s="468" t="s">
        <v>1377</v>
      </c>
      <c r="M9" s="468"/>
      <c r="N9" s="468"/>
      <c r="O9" s="468"/>
      <c r="P9" s="468"/>
      <c r="Q9" s="132"/>
      <c r="R9" s="132"/>
      <c r="S9" s="132"/>
    </row>
    <row r="10" spans="1:19" ht="15" customHeight="1" thickBot="1">
      <c r="B10" s="220" t="s">
        <v>1007</v>
      </c>
      <c r="C10" s="220"/>
      <c r="D10" s="220"/>
      <c r="E10" s="220"/>
      <c r="F10" s="220"/>
      <c r="G10" s="220"/>
      <c r="H10" s="220"/>
      <c r="I10" s="220"/>
      <c r="J10" s="276"/>
      <c r="L10" s="262"/>
      <c r="M10" s="262" t="s">
        <v>794</v>
      </c>
      <c r="N10" s="262" t="s">
        <v>795</v>
      </c>
      <c r="O10" s="262" t="s">
        <v>796</v>
      </c>
      <c r="P10" s="262" t="s">
        <v>797</v>
      </c>
      <c r="Q10" s="255"/>
      <c r="R10" s="255"/>
      <c r="S10" s="255"/>
    </row>
    <row r="11" spans="1:19" ht="18.75" customHeight="1">
      <c r="B11" s="237"/>
      <c r="C11" s="237"/>
      <c r="D11" s="237"/>
      <c r="E11" s="237"/>
      <c r="F11" s="237"/>
      <c r="G11" s="553"/>
      <c r="H11" s="553"/>
      <c r="I11" s="553"/>
      <c r="J11" s="271"/>
      <c r="L11" s="261">
        <f>L4</f>
        <v>2011</v>
      </c>
      <c r="M11" s="264">
        <v>18.48</v>
      </c>
      <c r="N11" s="264">
        <v>43.13</v>
      </c>
      <c r="O11" s="269">
        <f>Graphs!H3</f>
        <v>6</v>
      </c>
      <c r="P11" s="269">
        <f>O11</f>
        <v>6</v>
      </c>
      <c r="Q11" s="132"/>
      <c r="R11" s="132"/>
      <c r="S11" s="132"/>
    </row>
    <row r="12" spans="1:19" ht="15" customHeight="1">
      <c r="B12" s="238"/>
      <c r="C12" s="238"/>
      <c r="D12" s="238"/>
      <c r="E12" s="238"/>
      <c r="F12" s="238"/>
      <c r="G12" s="554"/>
      <c r="H12" s="554"/>
      <c r="I12" s="554"/>
      <c r="J12" s="277"/>
      <c r="L12" s="261">
        <f t="shared" ref="L12:L15" si="0">L5</f>
        <v>2012</v>
      </c>
      <c r="M12" s="269">
        <f>N11</f>
        <v>43.13</v>
      </c>
      <c r="N12" s="264">
        <v>73</v>
      </c>
      <c r="O12" s="269">
        <f>Graphs!H4</f>
        <v>8</v>
      </c>
      <c r="P12" s="269">
        <f>P11+O12</f>
        <v>14</v>
      </c>
      <c r="Q12" s="132"/>
      <c r="R12" s="132"/>
      <c r="S12" s="132"/>
    </row>
    <row r="13" spans="1:19" ht="15" customHeight="1">
      <c r="B13" s="238"/>
      <c r="C13" s="238"/>
      <c r="D13" s="238"/>
      <c r="E13" s="238"/>
      <c r="F13" s="238"/>
      <c r="G13" s="554"/>
      <c r="H13" s="554"/>
      <c r="I13" s="554"/>
      <c r="J13" s="277"/>
      <c r="L13" s="261">
        <f t="shared" si="0"/>
        <v>2013</v>
      </c>
      <c r="M13" s="269">
        <f>N12</f>
        <v>73</v>
      </c>
      <c r="N13" s="264">
        <v>123.11</v>
      </c>
      <c r="O13" s="269">
        <f>Graphs!H5</f>
        <v>9</v>
      </c>
      <c r="P13" s="269">
        <f>P12+O13</f>
        <v>23</v>
      </c>
      <c r="Q13" s="132"/>
      <c r="R13" s="132"/>
      <c r="S13" s="132"/>
    </row>
    <row r="14" spans="1:19" ht="15" customHeight="1">
      <c r="B14" s="238"/>
      <c r="C14" s="238"/>
      <c r="D14" s="238"/>
      <c r="E14" s="238"/>
      <c r="F14" s="238"/>
      <c r="G14" s="554"/>
      <c r="H14" s="554"/>
      <c r="I14" s="554"/>
      <c r="J14" s="277"/>
      <c r="L14" s="261">
        <f t="shared" si="0"/>
        <v>2014</v>
      </c>
      <c r="M14" s="269">
        <f>N13</f>
        <v>123.11</v>
      </c>
      <c r="N14" s="264">
        <v>207</v>
      </c>
      <c r="O14" s="269">
        <f>Graphs!H6</f>
        <v>9</v>
      </c>
      <c r="P14" s="269">
        <f>P13+O14</f>
        <v>32</v>
      </c>
      <c r="Q14" s="132"/>
      <c r="R14" s="132"/>
      <c r="S14" s="132"/>
    </row>
    <row r="15" spans="1:19" ht="15" customHeight="1">
      <c r="B15" s="238"/>
      <c r="C15" s="238"/>
      <c r="D15" s="238"/>
      <c r="E15" s="238"/>
      <c r="F15" s="238"/>
      <c r="G15" s="554"/>
      <c r="H15" s="554"/>
      <c r="I15" s="554"/>
      <c r="J15" s="277"/>
      <c r="L15" s="261">
        <f t="shared" si="0"/>
        <v>2015</v>
      </c>
      <c r="M15" s="269">
        <f>N14</f>
        <v>207</v>
      </c>
      <c r="N15" s="264">
        <v>289</v>
      </c>
      <c r="O15" s="269" t="str">
        <f>Graphs!H7</f>
        <v>--</v>
      </c>
      <c r="P15" s="269" t="e">
        <f>P14+O15</f>
        <v>#VALUE!</v>
      </c>
      <c r="Q15" s="132"/>
      <c r="R15" s="132"/>
      <c r="S15" s="132"/>
    </row>
    <row r="16" spans="1:19" ht="15" customHeight="1">
      <c r="B16" s="238"/>
      <c r="C16" s="238"/>
      <c r="D16" s="238"/>
      <c r="E16" s="238"/>
      <c r="F16" s="238"/>
      <c r="G16" s="554"/>
      <c r="H16" s="554"/>
      <c r="I16" s="554"/>
      <c r="J16" s="277"/>
      <c r="L16" s="136"/>
      <c r="M16" s="136"/>
      <c r="N16" s="136"/>
      <c r="O16" s="136"/>
      <c r="P16" s="136"/>
      <c r="Q16" s="136"/>
      <c r="R16" s="136"/>
      <c r="S16" s="136"/>
    </row>
    <row r="17" spans="2:19" ht="15" customHeight="1">
      <c r="B17" s="238"/>
      <c r="C17" s="238"/>
      <c r="D17" s="238"/>
      <c r="E17" s="238"/>
      <c r="F17" s="238"/>
      <c r="G17" s="554"/>
      <c r="H17" s="554"/>
      <c r="I17" s="554"/>
      <c r="J17" s="277"/>
      <c r="L17" s="261" t="s">
        <v>792</v>
      </c>
      <c r="M17" s="263">
        <f ca="1">(M8/M4)^(1/4)-1</f>
        <v>7.7912335889252615E-2</v>
      </c>
      <c r="N17" s="136"/>
      <c r="O17" s="136"/>
      <c r="P17" s="136"/>
      <c r="Q17" s="136"/>
      <c r="R17" s="136"/>
      <c r="S17" s="136"/>
    </row>
    <row r="18" spans="2:19" ht="15" customHeight="1">
      <c r="B18" s="238"/>
      <c r="C18" s="238"/>
      <c r="D18" s="238"/>
      <c r="E18" s="238"/>
      <c r="F18" s="238"/>
      <c r="G18" s="554"/>
      <c r="H18" s="554"/>
      <c r="I18" s="554"/>
      <c r="J18" s="277"/>
      <c r="L18" s="261" t="s">
        <v>793</v>
      </c>
      <c r="M18" s="263" t="e">
        <f>(N8/N4)^(1/4)-1</f>
        <v>#VALUE!</v>
      </c>
      <c r="N18" s="136"/>
      <c r="O18" s="136"/>
      <c r="P18" s="136"/>
      <c r="Q18" s="136"/>
      <c r="R18" s="136"/>
      <c r="S18" s="136"/>
    </row>
    <row r="19" spans="2:19" ht="15" customHeight="1" thickBot="1">
      <c r="B19" s="239"/>
      <c r="C19" s="239"/>
      <c r="D19" s="239"/>
      <c r="E19" s="239"/>
      <c r="F19" s="239"/>
      <c r="G19" s="555"/>
      <c r="H19" s="555"/>
      <c r="I19" s="555"/>
      <c r="J19" s="277"/>
    </row>
    <row r="20" spans="2:19" ht="15" customHeight="1">
      <c r="B20" s="547" t="s">
        <v>1006</v>
      </c>
      <c r="C20" s="547"/>
      <c r="D20" s="547"/>
      <c r="E20" s="547"/>
      <c r="F20" s="547"/>
      <c r="G20" s="547"/>
      <c r="H20" s="547"/>
      <c r="I20" s="547"/>
      <c r="J20" s="277"/>
    </row>
    <row r="21" spans="2:19" ht="11.25" customHeight="1" thickBot="1">
      <c r="B21" s="548"/>
      <c r="C21" s="548"/>
      <c r="D21" s="548"/>
      <c r="E21" s="548"/>
      <c r="F21" s="548"/>
      <c r="G21" s="548"/>
      <c r="H21" s="548"/>
      <c r="I21" s="548"/>
      <c r="J21" s="278"/>
    </row>
    <row r="22" spans="2:19" ht="11.25" customHeight="1" thickBot="1">
      <c r="B22" s="220" t="s">
        <v>1376</v>
      </c>
      <c r="C22" s="220"/>
      <c r="D22" s="220"/>
      <c r="E22" s="220"/>
      <c r="F22" s="220"/>
      <c r="G22" s="220"/>
      <c r="H22" s="220"/>
      <c r="I22" s="220"/>
      <c r="J22" s="278"/>
    </row>
    <row r="23" spans="2:19" ht="18.75" customHeight="1" thickBot="1">
      <c r="B23" s="342"/>
      <c r="C23" s="343"/>
      <c r="D23" s="533" t="str">
        <f>L24</f>
        <v>UltraTech Cem.</v>
      </c>
      <c r="E23" s="549"/>
      <c r="F23" s="533" t="str">
        <f>M24</f>
        <v>ACC</v>
      </c>
      <c r="G23" s="533"/>
      <c r="H23" s="532" t="str">
        <f>N24</f>
        <v>Ambuja Cem.</v>
      </c>
      <c r="I23" s="533"/>
      <c r="J23" s="271"/>
      <c r="L23" s="468" t="s">
        <v>1378</v>
      </c>
      <c r="M23" s="468"/>
      <c r="N23" s="468"/>
      <c r="O23" s="468"/>
      <c r="P23" s="468"/>
    </row>
    <row r="24" spans="2:19" ht="15" customHeight="1">
      <c r="B24" s="235" t="s">
        <v>231</v>
      </c>
      <c r="C24" s="233"/>
      <c r="D24" s="540" t="str">
        <f>L25</f>
        <v>Sudhin Choksey</v>
      </c>
      <c r="E24" s="541"/>
      <c r="F24" s="540">
        <f t="shared" ref="F24:F28" si="1">M25</f>
        <v>0</v>
      </c>
      <c r="G24" s="541"/>
      <c r="H24" s="540">
        <f t="shared" ref="H24:H28" si="2">N25</f>
        <v>0</v>
      </c>
      <c r="I24" s="556"/>
      <c r="J24" s="279"/>
      <c r="L24" s="261" t="str">
        <f>Calculations_Sheet!B18</f>
        <v>UltraTech Cem.</v>
      </c>
      <c r="M24" s="324" t="s">
        <v>730</v>
      </c>
      <c r="N24" s="324" t="s">
        <v>729</v>
      </c>
    </row>
    <row r="25" spans="2:19" ht="15" customHeight="1">
      <c r="B25" s="216" t="s">
        <v>232</v>
      </c>
      <c r="C25" s="113"/>
      <c r="D25" s="530" t="str">
        <f>IF(RIGHT(VLOOKUP(L25,Calculations_Sheet!$A$53:$H$72,7,0),1)="P","Yes","No")</f>
        <v>No</v>
      </c>
      <c r="E25" s="539"/>
      <c r="F25" s="530">
        <f t="shared" si="1"/>
        <v>0</v>
      </c>
      <c r="G25" s="539"/>
      <c r="H25" s="530">
        <f t="shared" si="2"/>
        <v>0</v>
      </c>
      <c r="I25" s="531"/>
      <c r="J25" s="280"/>
      <c r="L25" s="264" t="s">
        <v>874</v>
      </c>
      <c r="M25" s="264"/>
      <c r="N25" s="264"/>
    </row>
    <row r="26" spans="2:19" ht="15" customHeight="1">
      <c r="B26" s="217" t="s">
        <v>1385</v>
      </c>
      <c r="C26" s="111"/>
      <c r="D26" s="542">
        <f>VLOOKUP(L25,Input!$B$24:$D$43,2,0)+VLOOKUP(L25,Input!$B$24:$D$43,3,0)</f>
        <v>2.15</v>
      </c>
      <c r="E26" s="543"/>
      <c r="F26" s="542">
        <f t="shared" si="1"/>
        <v>0</v>
      </c>
      <c r="G26" s="543"/>
      <c r="H26" s="542">
        <f t="shared" si="2"/>
        <v>0</v>
      </c>
      <c r="I26" s="552"/>
      <c r="J26" s="280"/>
      <c r="M26" s="264"/>
      <c r="N26" s="264"/>
    </row>
    <row r="27" spans="2:19" ht="15" customHeight="1">
      <c r="B27" s="216" t="s">
        <v>1386</v>
      </c>
      <c r="C27" s="113"/>
      <c r="D27" s="530">
        <f>Input!C131</f>
        <v>15.3</v>
      </c>
      <c r="E27" s="539"/>
      <c r="F27" s="530">
        <f t="shared" si="1"/>
        <v>0</v>
      </c>
      <c r="G27" s="539"/>
      <c r="H27" s="530">
        <f t="shared" si="2"/>
        <v>0</v>
      </c>
      <c r="I27" s="531"/>
      <c r="J27" s="280"/>
      <c r="M27" s="264"/>
      <c r="N27" s="264"/>
    </row>
    <row r="28" spans="2:19" ht="15" customHeight="1" thickBot="1">
      <c r="B28" s="218" t="s">
        <v>233</v>
      </c>
      <c r="C28" s="234"/>
      <c r="D28" s="537">
        <f>D26/D27*100</f>
        <v>14.052287581699346</v>
      </c>
      <c r="E28" s="538"/>
      <c r="F28" s="534">
        <f t="shared" si="1"/>
        <v>0</v>
      </c>
      <c r="G28" s="536"/>
      <c r="H28" s="534">
        <f t="shared" si="2"/>
        <v>0</v>
      </c>
      <c r="I28" s="535"/>
      <c r="J28" s="280"/>
      <c r="M28" s="264"/>
      <c r="N28" s="264"/>
    </row>
    <row r="29" spans="2:19" ht="15" customHeight="1">
      <c r="J29" s="280"/>
      <c r="M29" s="264"/>
      <c r="N29" s="264"/>
    </row>
    <row r="30" spans="2:19" ht="18.75" customHeight="1">
      <c r="J30" s="271"/>
    </row>
    <row r="31" spans="2:19" ht="15" customHeight="1">
      <c r="J31" s="279"/>
    </row>
    <row r="32" spans="2:19" ht="15" customHeight="1">
      <c r="J32" s="281"/>
    </row>
    <row r="33" spans="10:14" ht="15" customHeight="1">
      <c r="J33" s="281"/>
      <c r="L33" s="261"/>
      <c r="M33" s="261" t="s">
        <v>21</v>
      </c>
      <c r="N33" s="261" t="s">
        <v>235</v>
      </c>
    </row>
    <row r="34" spans="10:14" ht="18.75" customHeight="1">
      <c r="J34" s="281"/>
      <c r="L34" s="261" t="s">
        <v>217</v>
      </c>
      <c r="M34" s="265" t="str">
        <f>IFERROR(AVERAGEIFS(Input!$C$24:$C$43,Input!$G$3:$G$22,"EDP",Input!$D$3:$D$22,"")+AVERAGEIFS(Input!$D$24:$D$43,Input!$G$3:$G$22,"EDP",Input!$D$3:$D$22,""),"NA")</f>
        <v>NA</v>
      </c>
      <c r="N34" s="269">
        <f>IFERROR(AVERAGEIFS(Input!$C$24:$C$43,Input!$G$3:$G$22,"NEDP",Input!$D$3:$D$22,"")+AVERAGEIFS(Input!$D$24:$D$43,Input!$G$3:$G$22,"NEDP",Input!$D$3:$D$22,""),"NA")</f>
        <v>8.9999999999999993E-3</v>
      </c>
    </row>
    <row r="35" spans="10:14" ht="15" customHeight="1">
      <c r="J35" s="282"/>
      <c r="L35" s="261" t="s">
        <v>234</v>
      </c>
      <c r="M35" s="265">
        <f>IFERROR(AVERAGEIFS(Input!$C$24:$C$43,Input!$G$3:$G$22,"ED",Input!$D$3:$D$22,"")+AVERAGEIFS(Input!$D$24:$D$43,Input!$G$3:$G$22,"ED",Input!$D$3:$D$22,""),"NA")</f>
        <v>1.4350000000000001</v>
      </c>
      <c r="N35" s="269">
        <f>(SUMIFS(Input!$C$24:$C$43,Input!$G$3:$G$22,"ID",Input!$D$3:$D$22,"")+SUMIFS(Input!$D$24:$D$43,Input!$G$3:$G$22,"ID",Input!$D$3:$D$22,"")+SUMIFS(Input!$C$24:$C$43,Input!$G$3:$G$22,"NED",Input!$D$3:$D$22,"")+SUMIFS(Input!$D$24:$D$43,Input!$G$3:$G$22,"NED",Input!$D$3:$D$22,""))/(COUNTIFS(Input!$G$3:$G$22,"NED",Input!$D$3:$D$22,"")+COUNTIFS(Input!$G$3:$G$22,"ID",Input!$D$3:$D$22,""))</f>
        <v>1.26E-2</v>
      </c>
    </row>
    <row r="36" spans="10:14" ht="15" customHeight="1">
      <c r="J36" s="282"/>
    </row>
  </sheetData>
  <mergeCells count="28">
    <mergeCell ref="L9:P9"/>
    <mergeCell ref="L23:P23"/>
    <mergeCell ref="B3:C3"/>
    <mergeCell ref="D27:E27"/>
    <mergeCell ref="B4:C4"/>
    <mergeCell ref="B20:I21"/>
    <mergeCell ref="D23:E23"/>
    <mergeCell ref="F23:G23"/>
    <mergeCell ref="H3:I3"/>
    <mergeCell ref="B9:I9"/>
    <mergeCell ref="H26:I26"/>
    <mergeCell ref="H27:I27"/>
    <mergeCell ref="D3:E3"/>
    <mergeCell ref="F3:G3"/>
    <mergeCell ref="G11:I19"/>
    <mergeCell ref="H24:I24"/>
    <mergeCell ref="H25:I25"/>
    <mergeCell ref="H23:I23"/>
    <mergeCell ref="H28:I28"/>
    <mergeCell ref="F28:G28"/>
    <mergeCell ref="D28:E28"/>
    <mergeCell ref="F25:G25"/>
    <mergeCell ref="F24:G24"/>
    <mergeCell ref="D25:E25"/>
    <mergeCell ref="D26:E26"/>
    <mergeCell ref="F27:G27"/>
    <mergeCell ref="F26:G26"/>
    <mergeCell ref="D24:E24"/>
  </mergeCells>
  <pageMargins left="0.7" right="0.7" top="0.75" bottom="0.75" header="0.3" footer="0.3"/>
  <drawing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14:formula1>
            <xm:f>OFFSET(Input!$B$3,0,0,Total_Directors,1)</xm:f>
          </x14:formula1>
          <xm:sqref>B5 B7:B8 B6:C6</xm:sqref>
        </x14:dataValidation>
        <x14:dataValidation type="list" allowBlank="1" showInputMessage="1" showErrorMessage="1">
          <x14:formula1>
            <xm:f>OFFSET(Peer_List!$AJ$1,MATCH(PeerGroup_Id,Peer_List!$AJ$2:$AJ$173,0),0,1,10)</xm:f>
          </x14:formula1>
          <xm:sqref>M24:N24</xm:sqref>
        </x14:dataValidation>
        <x14:dataValidation type="list" allowBlank="1" showInputMessage="1" showErrorMessage="1">
          <x14:formula1>
            <xm:f>OFFSET(Input!B3,0,0,Total_Directors,1)</xm:f>
          </x14:formula1>
          <xm:sqref>L25</xm:sqref>
        </x14:dataValidation>
      </x14:dataValidations>
    </ex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enableFormatConditionsCalculation="0">
    <tabColor rgb="FF0070C0"/>
  </sheetPr>
  <dimension ref="G1:P50"/>
  <sheetViews>
    <sheetView showGridLines="0" topLeftCell="A31" workbookViewId="0">
      <selection activeCell="H42" sqref="H42"/>
    </sheetView>
  </sheetViews>
  <sheetFormatPr baseColWidth="10" defaultColWidth="9.1640625" defaultRowHeight="12" x14ac:dyDescent="0"/>
  <cols>
    <col min="1" max="4" width="9.1640625" style="1"/>
    <col min="5" max="5" width="7.6640625" style="1" customWidth="1"/>
    <col min="6" max="6" width="4" style="1" customWidth="1"/>
    <col min="7" max="7" width="11.33203125" style="190" customWidth="1"/>
    <col min="8" max="8" width="20.5" style="1" customWidth="1"/>
    <col min="9" max="11" width="7.5" style="1" customWidth="1"/>
    <col min="12" max="13" width="7" style="1" customWidth="1"/>
    <col min="14" max="14" width="20.5" style="1" customWidth="1"/>
    <col min="15" max="17" width="7.5" style="1" customWidth="1"/>
    <col min="18" max="16384" width="9.1640625" style="1"/>
  </cols>
  <sheetData>
    <row r="1" spans="7:16">
      <c r="H1" s="557" t="str">
        <f>Company_Name</f>
        <v>UltraTech Cem.</v>
      </c>
      <c r="I1" s="558"/>
      <c r="J1" s="559"/>
      <c r="K1" s="560" t="str">
        <f>Calculations_Sheet!B21</f>
        <v>ACC</v>
      </c>
      <c r="L1" s="558"/>
      <c r="M1" s="559"/>
      <c r="N1" s="558" t="str">
        <f>Calculations_Sheet!B23</f>
        <v>Ambuja Cem.</v>
      </c>
      <c r="O1" s="558"/>
      <c r="P1" s="561"/>
    </row>
    <row r="2" spans="7:16">
      <c r="G2" s="286"/>
      <c r="H2" s="283" t="s">
        <v>992</v>
      </c>
      <c r="I2" s="283" t="s">
        <v>991</v>
      </c>
      <c r="J2" s="283" t="s">
        <v>990</v>
      </c>
      <c r="K2" s="283" t="s">
        <v>801</v>
      </c>
      <c r="L2" s="283" t="s">
        <v>789</v>
      </c>
      <c r="M2" s="283"/>
      <c r="N2" s="283" t="s">
        <v>801</v>
      </c>
      <c r="O2" s="283" t="s">
        <v>789</v>
      </c>
      <c r="P2" s="283"/>
    </row>
    <row r="3" spans="7:16">
      <c r="G3" s="283">
        <v>2011</v>
      </c>
      <c r="H3" s="251">
        <f>IF(Input!$D$1="MAR",VLOOKUP(Graphs!G3,Data!$A$103:$B$107,2,FALSE),VLOOKUP(Graphs!G3+1,Data!$A$103:$B$107,2,FALSE))</f>
        <v>6</v>
      </c>
      <c r="I3" s="288"/>
      <c r="J3" s="288"/>
      <c r="K3" s="251">
        <f>Data!B116</f>
        <v>31.5</v>
      </c>
      <c r="L3" s="288"/>
      <c r="M3" s="288"/>
      <c r="N3" s="251">
        <f>Data!B125</f>
        <v>2.8</v>
      </c>
      <c r="O3" s="288"/>
      <c r="P3" s="288"/>
    </row>
    <row r="4" spans="7:16">
      <c r="G4" s="283">
        <v>2012</v>
      </c>
      <c r="H4" s="251">
        <f>IF(Input!$D$1="MAR",VLOOKUP(Graphs!G4,Data!$A$103:$B$107,2,FALSE),VLOOKUP(Graphs!G4+1,Data!$A$103:$B$107,2,FALSE))</f>
        <v>8</v>
      </c>
      <c r="I4" s="288"/>
      <c r="J4" s="288"/>
      <c r="K4" s="251">
        <f>Data!B115</f>
        <v>28</v>
      </c>
      <c r="L4" s="288"/>
      <c r="M4" s="288"/>
      <c r="N4" s="251">
        <f>Data!B124</f>
        <v>3.2</v>
      </c>
      <c r="O4" s="288"/>
      <c r="P4" s="288"/>
    </row>
    <row r="5" spans="7:16">
      <c r="G5" s="283">
        <v>2013</v>
      </c>
      <c r="H5" s="251">
        <f>IF(Input!$D$1="MAR",VLOOKUP(Graphs!G5,Data!$A$103:$B$107,2,FALSE),VLOOKUP(Graphs!G5+1,Data!$A$103:$B$107,2,FALSE))</f>
        <v>9</v>
      </c>
      <c r="I5" s="405">
        <f>Template_P1!E12</f>
        <v>96.87</v>
      </c>
      <c r="J5" s="284">
        <f>IF(ISNUMBER(H5),H5,0)/IF(ISNUMBER(I5),I5,1)*1.1623</f>
        <v>0.10798699287705173</v>
      </c>
      <c r="K5" s="251">
        <f>Data!B114</f>
        <v>30</v>
      </c>
      <c r="L5" s="288"/>
      <c r="M5" s="288"/>
      <c r="N5" s="251">
        <f>Data!B123</f>
        <v>3.6</v>
      </c>
      <c r="O5" s="288"/>
      <c r="P5" s="288"/>
    </row>
    <row r="6" spans="7:16">
      <c r="G6" s="283">
        <v>2014</v>
      </c>
      <c r="H6" s="251">
        <f>IF(Input!$D$1="MAR",VLOOKUP(Graphs!G6,Data!$A$103:$B$107,2,FALSE),VLOOKUP(Graphs!G6+1,Data!$A$103:$B$107,2,FALSE))</f>
        <v>9</v>
      </c>
      <c r="I6" s="405">
        <f>Template_P1!D12</f>
        <v>78.209999999999994</v>
      </c>
      <c r="J6" s="284">
        <f>IF(ISNUMBER(H6),H6,0)/IF(ISNUMBER(I6),I6,1)*1.1623</f>
        <v>0.13375143843498277</v>
      </c>
      <c r="K6" s="251">
        <f>Data!B113</f>
        <v>34</v>
      </c>
      <c r="L6" s="288"/>
      <c r="M6" s="288"/>
      <c r="N6" s="251">
        <f>Data!B122</f>
        <v>4</v>
      </c>
      <c r="O6" s="288"/>
      <c r="P6" s="288"/>
    </row>
    <row r="7" spans="7:16">
      <c r="G7" s="283">
        <v>2015</v>
      </c>
      <c r="H7" s="251" t="str">
        <f>VLOOKUP(Graphs!G7,Data!$A$103:$B$107,2,FALSE)</f>
        <v>--</v>
      </c>
      <c r="I7" s="405">
        <f>Template_P1!C12</f>
        <v>73.44</v>
      </c>
      <c r="J7" s="284">
        <f>IF(ISNUMBER(H7),H7,0)/IF(ISNUMBER(I7),I7,1)*1.1623</f>
        <v>0</v>
      </c>
      <c r="K7" s="251">
        <f>Data!B112</f>
        <v>19</v>
      </c>
      <c r="L7" s="405">
        <f>Template_P1!G12</f>
        <v>62.23</v>
      </c>
      <c r="M7" s="284">
        <f>IF(ISNUMBER(K7),K7,0)/IF(ISNUMBER(L7),L7,1)*1.1623</f>
        <v>0.3548722481118432</v>
      </c>
      <c r="N7" s="251">
        <f>Data!B121</f>
        <v>3.2</v>
      </c>
      <c r="O7" s="405">
        <f>Template_P1!I12</f>
        <v>9.67</v>
      </c>
      <c r="P7" s="284">
        <f>IF(ISNUMBER(N7),N7,0)/IF(ISNUMBER(O7),O7,1)*1.1623</f>
        <v>0.38462874870734232</v>
      </c>
    </row>
    <row r="8" spans="7:16">
      <c r="G8" s="34"/>
      <c r="H8" s="285"/>
      <c r="I8" s="285"/>
      <c r="J8" s="285"/>
      <c r="K8" s="285"/>
      <c r="L8" s="285"/>
      <c r="M8" s="285"/>
      <c r="N8" s="285"/>
      <c r="O8" s="285"/>
      <c r="P8" s="285"/>
    </row>
    <row r="9" spans="7:16">
      <c r="G9" s="34"/>
      <c r="H9" s="283" t="s">
        <v>801</v>
      </c>
      <c r="I9" s="283" t="s">
        <v>789</v>
      </c>
      <c r="J9" s="283" t="s">
        <v>802</v>
      </c>
      <c r="K9" s="322" t="s">
        <v>918</v>
      </c>
      <c r="L9" s="285"/>
      <c r="M9" s="285"/>
      <c r="N9" s="285"/>
      <c r="O9" s="285"/>
      <c r="P9" s="285"/>
    </row>
    <row r="10" spans="7:16">
      <c r="G10" s="287" t="str">
        <f>H1</f>
        <v>UltraTech Cem.</v>
      </c>
      <c r="H10" s="251" t="str">
        <f>H7</f>
        <v>--</v>
      </c>
      <c r="I10" s="251">
        <f>I7</f>
        <v>73.44</v>
      </c>
      <c r="J10" s="284">
        <f>J7</f>
        <v>0</v>
      </c>
      <c r="K10" s="285"/>
      <c r="L10" s="285"/>
      <c r="M10" s="285"/>
      <c r="N10" s="285"/>
      <c r="O10" s="285"/>
      <c r="P10" s="285"/>
    </row>
    <row r="11" spans="7:16">
      <c r="G11" s="287" t="str">
        <f>K1</f>
        <v>ACC</v>
      </c>
      <c r="H11" s="251">
        <f>K7</f>
        <v>19</v>
      </c>
      <c r="I11" s="251">
        <f>L7</f>
        <v>62.23</v>
      </c>
      <c r="J11" s="284">
        <f>M7</f>
        <v>0.3548722481118432</v>
      </c>
      <c r="K11" s="285"/>
      <c r="L11" s="285"/>
      <c r="M11" s="285"/>
      <c r="N11" s="285"/>
      <c r="O11" s="285"/>
      <c r="P11" s="285"/>
    </row>
    <row r="12" spans="7:16">
      <c r="G12" s="287" t="str">
        <f>N1</f>
        <v>Ambuja Cem.</v>
      </c>
      <c r="H12" s="251">
        <f>N7</f>
        <v>3.2</v>
      </c>
      <c r="I12" s="251">
        <f>O7</f>
        <v>9.67</v>
      </c>
      <c r="J12" s="284">
        <f>P7</f>
        <v>0.38462874870734232</v>
      </c>
      <c r="K12" s="285"/>
      <c r="L12" s="285"/>
      <c r="M12" s="285"/>
      <c r="N12" s="285"/>
      <c r="O12" s="285"/>
      <c r="P12" s="285"/>
    </row>
    <row r="47" spans="8:11" ht="14">
      <c r="H47" s="174"/>
      <c r="I47" s="175" t="s">
        <v>183</v>
      </c>
      <c r="J47" s="175" t="s">
        <v>880</v>
      </c>
      <c r="K47" s="175" t="s">
        <v>1325</v>
      </c>
    </row>
    <row r="48" spans="8:11" ht="14">
      <c r="H48" s="174" t="s">
        <v>134</v>
      </c>
      <c r="I48" s="453">
        <f>Input!$E$132</f>
        <v>0.09</v>
      </c>
      <c r="J48" s="453">
        <f>Input!$D$132</f>
        <v>0.09</v>
      </c>
      <c r="K48" s="453">
        <f>Input!$C$132</f>
        <v>0.19</v>
      </c>
    </row>
    <row r="49" spans="8:11" ht="14">
      <c r="H49" s="174" t="s">
        <v>135</v>
      </c>
      <c r="I49" s="453">
        <f>Input!$E$133</f>
        <v>4.5900000000000003E-2</v>
      </c>
      <c r="J49" s="453">
        <f>Input!$D$133</f>
        <v>4.5999999999999999E-2</v>
      </c>
      <c r="K49" s="453">
        <f>Input!$C$133</f>
        <v>0.12039999999999999</v>
      </c>
    </row>
    <row r="50" spans="8:11" ht="14">
      <c r="H50" s="174" t="s">
        <v>188</v>
      </c>
      <c r="I50" s="453">
        <f>Input!$E$134</f>
        <v>3.5000000000000003E-2</v>
      </c>
      <c r="J50" s="453">
        <f>Input!$D$134</f>
        <v>2.75E-2</v>
      </c>
      <c r="K50" s="453">
        <f>Input!$C$134</f>
        <v>1.4999999999999999E-2</v>
      </c>
    </row>
  </sheetData>
  <mergeCells count="3">
    <mergeCell ref="H1:J1"/>
    <mergeCell ref="K1:M1"/>
    <mergeCell ref="N1:P1"/>
  </mergeCells>
  <pageMargins left="0.7" right="0.7" top="0.75" bottom="0.75" header="0.3" footer="0.3"/>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rgb="FF0070C0"/>
  </sheetPr>
  <dimension ref="A1:D44"/>
  <sheetViews>
    <sheetView showGridLines="0" workbookViewId="0"/>
  </sheetViews>
  <sheetFormatPr baseColWidth="10" defaultColWidth="9.1640625" defaultRowHeight="13.5" customHeight="1" x14ac:dyDescent="0"/>
  <cols>
    <col min="1" max="1" width="31.5" style="132" customWidth="1"/>
    <col min="2" max="4" width="21.5" style="154" customWidth="1"/>
    <col min="5" max="16384" width="9.1640625" style="132"/>
  </cols>
  <sheetData>
    <row r="1" spans="1:4" ht="13.5" customHeight="1">
      <c r="B1" s="150" t="s">
        <v>145</v>
      </c>
      <c r="C1" s="150" t="s">
        <v>145</v>
      </c>
      <c r="D1" s="150" t="s">
        <v>145</v>
      </c>
    </row>
    <row r="2" spans="1:4" ht="13.5" customHeight="1">
      <c r="A2" s="134"/>
      <c r="B2" s="151" t="s">
        <v>858</v>
      </c>
      <c r="C2" s="151" t="s">
        <v>858</v>
      </c>
      <c r="D2" s="151" t="s">
        <v>861</v>
      </c>
    </row>
    <row r="3" spans="1:4" ht="13.5" customHeight="1">
      <c r="A3" s="134"/>
      <c r="B3" s="151"/>
      <c r="C3" s="151"/>
      <c r="D3" s="151"/>
    </row>
    <row r="4" spans="1:4" ht="13.5" customHeight="1" thickBot="1">
      <c r="A4" s="149"/>
      <c r="B4" s="153"/>
      <c r="C4" s="153"/>
      <c r="D4" s="153"/>
    </row>
    <row r="5" spans="1:4" ht="13.5" customHeight="1">
      <c r="A5" s="143"/>
      <c r="B5" s="144" t="str">
        <f>B$2</f>
        <v>S.M Palia</v>
      </c>
      <c r="C5" s="144" t="str">
        <f t="shared" ref="C5:D5" si="0">C$2</f>
        <v>S.M Palia</v>
      </c>
      <c r="D5" s="144" t="str">
        <f t="shared" si="0"/>
        <v>Rohit C. Mehta</v>
      </c>
    </row>
    <row r="6" spans="1:4" ht="13.5" customHeight="1">
      <c r="A6" s="145" t="s">
        <v>146</v>
      </c>
      <c r="B6" s="124"/>
      <c r="C6" s="327"/>
      <c r="D6" s="327"/>
    </row>
    <row r="7" spans="1:4" ht="13.5" customHeight="1">
      <c r="A7" s="146" t="s">
        <v>7</v>
      </c>
      <c r="B7" s="123" t="str">
        <f>VLOOKUP(B$2,Output!$B$72:$J$80,8,FALSE)</f>
        <v>FI</v>
      </c>
      <c r="C7" s="326" t="str">
        <f>VLOOKUP(C$2,Output!$B$72:$J$80,8,FALSE)</f>
        <v>FI</v>
      </c>
      <c r="D7" s="326" t="str">
        <f>VLOOKUP(D$2,Output!$B$72:$J$80,8,FALSE)</f>
        <v>IN</v>
      </c>
    </row>
    <row r="8" spans="1:4" ht="13.5" customHeight="1">
      <c r="A8" s="145" t="s">
        <v>19</v>
      </c>
      <c r="B8" s="124" t="str">
        <f>VLOOKUP(B$2,Output!$B$72:$J$80,9,FALSE)</f>
        <v>B.Com, LLB, CAIIB, CAIB</v>
      </c>
      <c r="C8" s="327" t="str">
        <f>VLOOKUP(C$2,Output!$B$72:$J$80,9,FALSE)</f>
        <v>B.Com, LLB, CAIIB, CAIB</v>
      </c>
      <c r="D8" s="327" t="str">
        <f>VLOOKUP(D$2,Output!$B$72:$J$80,9,FALSE)</f>
        <v>LLB</v>
      </c>
    </row>
    <row r="9" spans="1:4" ht="13.5" customHeight="1">
      <c r="A9" s="146" t="s">
        <v>147</v>
      </c>
      <c r="B9" s="123"/>
      <c r="C9" s="326"/>
      <c r="D9" s="326"/>
    </row>
    <row r="10" spans="1:4" ht="13.5" customHeight="1">
      <c r="A10" s="145" t="s">
        <v>148</v>
      </c>
      <c r="B10" s="124"/>
      <c r="C10" s="327"/>
      <c r="D10" s="327"/>
    </row>
    <row r="11" spans="1:4" ht="13.5" customHeight="1" thickBot="1">
      <c r="A11" s="147" t="s">
        <v>149</v>
      </c>
      <c r="B11" s="148"/>
      <c r="C11" s="148"/>
      <c r="D11" s="148"/>
    </row>
    <row r="12" spans="1:4" ht="13.5" customHeight="1">
      <c r="A12" s="138"/>
    </row>
    <row r="13" spans="1:4" ht="13.5" customHeight="1" thickBot="1">
      <c r="A13" s="139" t="s">
        <v>150</v>
      </c>
    </row>
    <row r="14" spans="1:4" ht="13.5" customHeight="1">
      <c r="A14" s="110" t="s">
        <v>151</v>
      </c>
      <c r="B14" s="110" t="str">
        <f>B$2</f>
        <v>S.M Palia</v>
      </c>
      <c r="C14" s="325" t="str">
        <f t="shared" ref="C14:D14" si="1">C$2</f>
        <v>S.M Palia</v>
      </c>
      <c r="D14" s="325" t="str">
        <f t="shared" si="1"/>
        <v>Rohit C. Mehta</v>
      </c>
    </row>
    <row r="15" spans="1:4" ht="13.5" customHeight="1">
      <c r="A15" s="111" t="s">
        <v>152</v>
      </c>
      <c r="B15" s="302" t="str">
        <f>TEXT(VLOOKUP(B$2,Output!$B$72:$J$80,2,FALSE),"0")&amp;" Years"</f>
        <v>21 Years</v>
      </c>
      <c r="C15" s="302" t="str">
        <f>TEXT(VLOOKUP(C$2,Output!$B$72:$J$80,2,FALSE),"0")&amp;" Years"</f>
        <v>21 Years</v>
      </c>
      <c r="D15" s="302" t="str">
        <f>TEXT(VLOOKUP(D$2,Output!$B$72:$J$80,2,FALSE),"0")&amp;" Years"</f>
        <v>27 Years</v>
      </c>
    </row>
    <row r="16" spans="1:4" ht="13.5" customHeight="1">
      <c r="A16" s="113" t="s">
        <v>153</v>
      </c>
      <c r="B16" s="123" t="str">
        <f>VLOOKUP(B$2,Input!$B$3:$AM$22,5,FALSE)&amp;" Years"</f>
        <v>21 Years</v>
      </c>
      <c r="C16" s="326" t="str">
        <f>VLOOKUP(C$2,Input!$B$3:$AM$22,5,FALSE)&amp;" Years"</f>
        <v>21 Years</v>
      </c>
      <c r="D16" s="326" t="str">
        <f>VLOOKUP(D$2,Input!$B$3:$AM$22,5,FALSE)&amp;" Years"</f>
        <v>27 Years</v>
      </c>
    </row>
    <row r="17" spans="1:4" ht="13.5" customHeight="1">
      <c r="A17" s="111" t="s">
        <v>154</v>
      </c>
      <c r="B17" s="124"/>
      <c r="C17" s="327"/>
      <c r="D17" s="327"/>
    </row>
    <row r="18" spans="1:4" ht="13.5" customHeight="1">
      <c r="A18" s="113" t="s">
        <v>155</v>
      </c>
      <c r="B18" s="123" t="str">
        <f>IF(VLOOKUP(B$2,Input!$B$3:$AM$22,13,FALSE)="Y","Yes","No")</f>
        <v>No</v>
      </c>
      <c r="C18" s="326" t="str">
        <f>IF(VLOOKUP(C$2,Input!$B$3:$AM$22,13,FALSE)="Y","Yes","No")</f>
        <v>No</v>
      </c>
      <c r="D18" s="326" t="str">
        <f>IF(VLOOKUP(D$2,Input!$B$3:$AM$22,13,FALSE)="Y","Yes","No")</f>
        <v>No</v>
      </c>
    </row>
    <row r="19" spans="1:4" ht="13.5" customHeight="1">
      <c r="A19" s="111" t="s">
        <v>156</v>
      </c>
      <c r="B19" s="124"/>
      <c r="C19" s="327"/>
      <c r="D19" s="327"/>
    </row>
    <row r="20" spans="1:4" ht="13.5" customHeight="1">
      <c r="A20" s="113" t="s">
        <v>157</v>
      </c>
      <c r="B20" s="123" t="str">
        <f>IF(VLOOKUP(B$2,Output!$B$72:$J$80,3,FALSE)="ND","Not Disclosed",VLOOKUP(B$2,Output!$B$72:$J$80,3,FALSE)&amp;" Equity Shares")</f>
        <v>110150 Equity Shares</v>
      </c>
      <c r="C20" s="326" t="str">
        <f>IF(VLOOKUP(C$2,Output!$B$72:$J$80,3,FALSE)="ND","Not Disclosed",VLOOKUP(C$2,Output!$B$72:$J$80,3,FALSE)&amp;" Equity Shares")</f>
        <v>110150 Equity Shares</v>
      </c>
      <c r="D20" s="326" t="str">
        <f>IF(VLOOKUP(D$2,Output!$B$72:$J$80,3,FALSE)="ND","Not Disclosed",VLOOKUP(D$2,Output!$B$72:$J$80,3,FALSE)&amp;" Equity Shares")</f>
        <v>165000000 Equity Shares</v>
      </c>
    </row>
    <row r="21" spans="1:4" ht="13.5" customHeight="1">
      <c r="A21" s="111" t="s">
        <v>158</v>
      </c>
      <c r="B21" s="112" t="str">
        <f>IF(VLOOKUP(B$2,Output!$B$72:$J$80,4,FALSE)="Y","Yes","No")</f>
        <v>No</v>
      </c>
      <c r="C21" s="112" t="str">
        <f>IF(VLOOKUP(C$2,Output!$B$72:$J$80,4,FALSE)="Y","Yes","No")</f>
        <v>No</v>
      </c>
      <c r="D21" s="112" t="str">
        <f>IF(VLOOKUP(D$2,Output!$B$72:$J$80,4,FALSE)="Y","Yes","No")</f>
        <v>No</v>
      </c>
    </row>
    <row r="22" spans="1:4" ht="13.5" customHeight="1">
      <c r="A22" s="113" t="s">
        <v>159</v>
      </c>
      <c r="B22" s="114"/>
      <c r="C22" s="114"/>
      <c r="D22" s="114"/>
    </row>
    <row r="23" spans="1:4" ht="13.5" customHeight="1">
      <c r="A23" s="111" t="s">
        <v>160</v>
      </c>
      <c r="B23" s="112"/>
      <c r="C23" s="112"/>
      <c r="D23" s="112"/>
    </row>
    <row r="24" spans="1:4" ht="13.5" customHeight="1">
      <c r="A24" s="113" t="s">
        <v>161</v>
      </c>
      <c r="B24" s="114"/>
      <c r="C24" s="114"/>
      <c r="D24" s="114"/>
    </row>
    <row r="25" spans="1:4" ht="13.5" customHeight="1">
      <c r="A25" s="111" t="s">
        <v>12</v>
      </c>
      <c r="B25" s="130">
        <f>SUM(VLOOKUP(B14,Input!$B$24:$D$43,2,FALSE),VLOOKUP(B14,Input!$B$24:$D$43,3,FALSE))</f>
        <v>1.35E-2</v>
      </c>
      <c r="C25" s="130">
        <f>SUM(VLOOKUP(C14,Input!$B$24:$D$43,2,FALSE),VLOOKUP(C14,Input!$B$24:$D$43,3,FALSE))</f>
        <v>1.35E-2</v>
      </c>
      <c r="D25" s="130">
        <f>SUM(VLOOKUP(D14,Input!$B$24:$D$43,2,FALSE),VLOOKUP(D14,Input!$B$24:$D$43,3,FALSE))</f>
        <v>1.6500000000000001E-2</v>
      </c>
    </row>
    <row r="26" spans="1:4" ht="13.5" customHeight="1">
      <c r="A26" s="113" t="s">
        <v>162</v>
      </c>
      <c r="B26" s="137">
        <f>VLOOKUP(B14,Input!$B$24:$C$43,2,FALSE)</f>
        <v>0</v>
      </c>
      <c r="C26" s="137">
        <f>VLOOKUP(C14,Input!$B$24:$C$43,2,FALSE)</f>
        <v>0</v>
      </c>
      <c r="D26" s="137">
        <f>VLOOKUP(D14,Input!$B$24:$C$43,2,FALSE)</f>
        <v>0</v>
      </c>
    </row>
    <row r="27" spans="1:4" ht="13.5" customHeight="1" thickBot="1">
      <c r="A27" s="115" t="s">
        <v>163</v>
      </c>
      <c r="B27" s="116" t="str">
        <f>IF(VLOOKUP(B$2,Output!$B$61:$E$65,4,FALSE)&lt;&gt;"ID","Non Executive","Independent")</f>
        <v>Non Executive</v>
      </c>
      <c r="C27" s="116" t="str">
        <f>IF(VLOOKUP(C$2,Output!$B$61:$E$65,4,FALSE)&lt;&gt;"ID","Non Executive","Independent")</f>
        <v>Non Executive</v>
      </c>
      <c r="D27" s="116" t="str">
        <f>IF(VLOOKUP(D$2,Output!$B$61:$E$65,4,FALSE)&lt;&gt;"ID","Non Executive","Independent")</f>
        <v>Non Executive</v>
      </c>
    </row>
    <row r="28" spans="1:4" ht="13.5" customHeight="1">
      <c r="A28" s="117"/>
    </row>
    <row r="29" spans="1:4" ht="13.5" customHeight="1" thickBot="1">
      <c r="A29" s="135" t="s">
        <v>164</v>
      </c>
    </row>
    <row r="30" spans="1:4" ht="13.5" customHeight="1">
      <c r="A30" s="109" t="s">
        <v>151</v>
      </c>
      <c r="B30" s="110" t="str">
        <f>B$2</f>
        <v>S.M Palia</v>
      </c>
      <c r="C30" s="325" t="str">
        <f t="shared" ref="C30:D30" si="2">C$2</f>
        <v>S.M Palia</v>
      </c>
      <c r="D30" s="325" t="str">
        <f t="shared" si="2"/>
        <v>Rohit C. Mehta</v>
      </c>
    </row>
    <row r="31" spans="1:4" ht="13.5" customHeight="1">
      <c r="A31" s="113" t="s">
        <v>165</v>
      </c>
      <c r="B31" s="123">
        <f>VLOOKUP(B$2,Output!$B$72:$J$80,5,FALSE)</f>
        <v>4</v>
      </c>
      <c r="C31" s="326">
        <f>VLOOKUP(C$2,Output!$B$72:$J$80,5,FALSE)</f>
        <v>4</v>
      </c>
      <c r="D31" s="326">
        <f>VLOOKUP(D$2,Output!$B$72:$J$80,5,FALSE)</f>
        <v>3</v>
      </c>
    </row>
    <row r="32" spans="1:4" ht="13.5" customHeight="1">
      <c r="A32" s="111" t="s">
        <v>166</v>
      </c>
      <c r="B32" s="112">
        <f>VLOOKUP(B$2,Output!$B$72:$J$80,6,FALSE)</f>
        <v>2</v>
      </c>
      <c r="C32" s="112">
        <f>VLOOKUP(C$2,Output!$B$72:$J$80,6,FALSE)</f>
        <v>2</v>
      </c>
      <c r="D32" s="112">
        <f>VLOOKUP(D$2,Output!$B$72:$J$80,6,FALSE)</f>
        <v>4</v>
      </c>
    </row>
    <row r="33" spans="1:4" ht="13.5" customHeight="1">
      <c r="A33" s="113" t="s">
        <v>167</v>
      </c>
      <c r="B33" s="123">
        <f>VLOOKUP(B$2,Output!$B$72:$J$80,7,FALSE)</f>
        <v>1</v>
      </c>
      <c r="C33" s="326">
        <f>VLOOKUP(C$2,Output!$B$72:$J$80,7,FALSE)</f>
        <v>1</v>
      </c>
      <c r="D33" s="326">
        <f>VLOOKUP(D$2,Output!$B$72:$J$80,7,FALSE)</f>
        <v>2</v>
      </c>
    </row>
    <row r="34" spans="1:4" ht="13.5" customHeight="1" thickBot="1">
      <c r="A34" s="118" t="s">
        <v>168</v>
      </c>
      <c r="B34" s="119"/>
      <c r="C34" s="119"/>
      <c r="D34" s="119"/>
    </row>
    <row r="35" spans="1:4" ht="13.5" customHeight="1">
      <c r="A35" s="136" t="s">
        <v>169</v>
      </c>
    </row>
    <row r="36" spans="1:4" ht="13.5" customHeight="1">
      <c r="A36" s="136"/>
    </row>
    <row r="37" spans="1:4" ht="13.5" customHeight="1" thickBot="1">
      <c r="A37" s="135" t="s">
        <v>170</v>
      </c>
    </row>
    <row r="38" spans="1:4" ht="13.5" customHeight="1">
      <c r="A38" s="109" t="s">
        <v>171</v>
      </c>
      <c r="B38" s="110" t="str">
        <f>B$2</f>
        <v>S.M Palia</v>
      </c>
      <c r="C38" s="325" t="str">
        <f t="shared" ref="C38:D38" si="3">C$2</f>
        <v>S.M Palia</v>
      </c>
      <c r="D38" s="325" t="str">
        <f t="shared" si="3"/>
        <v>Rohit C. Mehta</v>
      </c>
    </row>
    <row r="39" spans="1:4" ht="13.5" customHeight="1">
      <c r="A39" s="111" t="s">
        <v>172</v>
      </c>
      <c r="B39" s="112" t="str">
        <f>VLOOKUP(B$2,Output!$B$94:$C$102,2,FALSE)</f>
        <v>3/3</v>
      </c>
      <c r="C39" s="112" t="str">
        <f>VLOOKUP(C$2,Output!$B$94:$C$102,2,FALSE)</f>
        <v>3/3</v>
      </c>
      <c r="D39" s="112" t="str">
        <f>VLOOKUP(D$2,Output!$B$94:$C$102,2,FALSE)</f>
        <v>0/3</v>
      </c>
    </row>
    <row r="40" spans="1:4" ht="13.5" customHeight="1">
      <c r="A40" s="113" t="s">
        <v>173</v>
      </c>
      <c r="B40" s="120">
        <f>VLOOKUP(B$2,Output!$B$94:$D$102,3,FALSE)</f>
        <v>1</v>
      </c>
      <c r="C40" s="120">
        <f>VLOOKUP(C$2,Output!$B$94:$D$102,3,FALSE)</f>
        <v>1</v>
      </c>
      <c r="D40" s="120">
        <f>VLOOKUP(D$2,Output!$B$94:$D$102,3,FALSE)</f>
        <v>0.75</v>
      </c>
    </row>
    <row r="41" spans="1:4" ht="13.5" customHeight="1">
      <c r="A41" s="111" t="s">
        <v>174</v>
      </c>
      <c r="B41" s="121">
        <f>SUM(VLOOKUP(B$2,Input!$B$45:$H$64,2,FALSE),VLOOKUP(B$2,Input!$B$45:$H$64,4,FALSE),VLOOKUP(B$2,Input!$B$45:$H$64,6,FALSE))/SUM(VLOOKUP(B$2,Input!$B$45:$H$64,3,FALSE),VLOOKUP(B$2,Input!$B$45:$H$64,5,FALSE),VLOOKUP(B$2,Input!$B$45:$H$64,7,FALSE))</f>
        <v>1</v>
      </c>
      <c r="C41" s="121">
        <f>SUM(VLOOKUP(C$2,Input!$B$45:$H$64,2,FALSE),VLOOKUP(C$2,Input!$B$45:$H$64,4,FALSE),VLOOKUP(C$2,Input!$B$45:$H$64,6,FALSE))/SUM(VLOOKUP(C$2,Input!$B$45:$H$64,3,FALSE),VLOOKUP(C$2,Input!$B$45:$H$64,5,FALSE),VLOOKUP(C$2,Input!$B$45:$H$64,7,FALSE))</f>
        <v>1</v>
      </c>
      <c r="D41" s="121">
        <f>SUM(VLOOKUP(D$2,Input!$B$45:$H$64,2,FALSE),VLOOKUP(D$2,Input!$B$45:$H$64,4,FALSE),VLOOKUP(D$2,Input!$B$45:$H$64,6,FALSE))/SUM(VLOOKUP(D$2,Input!$B$45:$H$64,3,FALSE),VLOOKUP(D$2,Input!$B$45:$H$64,5,FALSE),VLOOKUP(D$2,Input!$B$45:$H$64,7,FALSE))</f>
        <v>0.69230769230769229</v>
      </c>
    </row>
    <row r="42" spans="1:4" ht="13.5" customHeight="1">
      <c r="A42" s="113" t="s">
        <v>176</v>
      </c>
      <c r="B42" s="126" t="str">
        <f>IF(VLOOKUP(B$2,Output!$B$94:$M$102,12,FALSE)&lt;&gt;"",VLOOKUP(B$2,Output!$B$94:$M$102,12,FALSE),"NA")</f>
        <v>NA</v>
      </c>
      <c r="C42" s="126" t="str">
        <f>IF(VLOOKUP(C$2,Output!$B$94:$M$102,12,FALSE)&lt;&gt;"",VLOOKUP(C$2,Output!$B$94:$M$102,12,FALSE),"NA")</f>
        <v>NA</v>
      </c>
      <c r="D42" s="126" t="str">
        <f>IF(VLOOKUP(D$2,Output!$B$94:$M$102,12,FALSE)&lt;&gt;"",VLOOKUP(D$2,Output!$B$94:$M$102,12,FALSE),"NA")</f>
        <v>NA</v>
      </c>
    </row>
    <row r="43" spans="1:4" ht="13.5" customHeight="1">
      <c r="A43" s="111" t="s">
        <v>177</v>
      </c>
      <c r="B43" s="127">
        <f>IF(VLOOKUP(B$2,Output!$B$94:$M$102,9,FALSE)&lt;&gt;"",VLOOKUP(B$2,Output!$B$94:$M$102,9,FALSE),"NA")</f>
        <v>1</v>
      </c>
      <c r="C43" s="127">
        <f>IF(VLOOKUP(C$2,Output!$B$94:$M$102,9,FALSE)&lt;&gt;"",VLOOKUP(C$2,Output!$B$94:$M$102,9,FALSE),"NA")</f>
        <v>1</v>
      </c>
      <c r="D43" s="127" t="str">
        <f>IF(VLOOKUP(D$2,Output!$B$94:$M$102,9,FALSE)&lt;&gt;"",VLOOKUP(D$2,Output!$B$94:$M$102,9,FALSE),"NA")</f>
        <v>NA</v>
      </c>
    </row>
    <row r="44" spans="1:4" ht="13.5" customHeight="1" thickBot="1">
      <c r="A44" s="122" t="s">
        <v>175</v>
      </c>
      <c r="B44" s="125">
        <f>IF(VLOOKUP(B$2,Output!$B$94:$M$102,6,FALSE)&lt;&gt;"",VLOOKUP(B$2,Output!$B$94:$M$102,6,FALSE),"NA")</f>
        <v>1</v>
      </c>
      <c r="C44" s="125">
        <f>IF(VLOOKUP(C$2,Output!$B$94:$M$102,6,FALSE)&lt;&gt;"",VLOOKUP(C$2,Output!$B$94:$M$102,6,FALSE),"NA")</f>
        <v>1</v>
      </c>
      <c r="D44" s="125">
        <f>IF(VLOOKUP(D$2,Output!$B$94:$M$102,6,FALSE)&lt;&gt;"",VLOOKUP(D$2,Output!$B$94:$M$102,6,FALSE),"NA")</f>
        <v>0.8</v>
      </c>
    </row>
  </sheetData>
  <conditionalFormatting sqref="B3:B4">
    <cfRule type="cellIs" dxfId="21" priority="17" operator="equal">
      <formula>"FOR"</formula>
    </cfRule>
    <cfRule type="cellIs" dxfId="20" priority="18" operator="equal">
      <formula>"AGAINST"</formula>
    </cfRule>
  </conditionalFormatting>
  <conditionalFormatting sqref="C3:D4">
    <cfRule type="cellIs" dxfId="19" priority="1" operator="equal">
      <formula>"FOR"</formula>
    </cfRule>
    <cfRule type="cellIs" dxfId="18" priority="2" operator="equal">
      <formula>"AGAINST"</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y;n">
          <x14:formula1>
            <xm:f>OFFSET(Input!$B$3,0,0,Total_Directors,1)</xm:f>
          </x14:formula1>
          <xm:sqref>B2:D2</xm:sqref>
        </x14:dataValidation>
      </x14:dataValidations>
    </ex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enableFormatConditionsCalculation="0">
    <tabColor rgb="FF0070C0"/>
  </sheetPr>
  <dimension ref="A1:D20"/>
  <sheetViews>
    <sheetView showGridLines="0" workbookViewId="0"/>
  </sheetViews>
  <sheetFormatPr baseColWidth="10" defaultColWidth="9.1640625" defaultRowHeight="13.5" customHeight="1" x14ac:dyDescent="0"/>
  <cols>
    <col min="1" max="1" width="31.5" style="132" customWidth="1"/>
    <col min="2" max="4" width="21.5" style="154" customWidth="1"/>
    <col min="5" max="5" width="3.5" style="132" customWidth="1"/>
    <col min="6" max="16384" width="9.1640625" style="132"/>
  </cols>
  <sheetData>
    <row r="1" spans="1:4" ht="13.5" customHeight="1">
      <c r="B1" s="150" t="s">
        <v>145</v>
      </c>
      <c r="C1" s="150" t="s">
        <v>145</v>
      </c>
      <c r="D1" s="150" t="s">
        <v>145</v>
      </c>
    </row>
    <row r="2" spans="1:4" ht="13.5" customHeight="1">
      <c r="B2" s="151" t="s">
        <v>861</v>
      </c>
      <c r="C2" s="151" t="s">
        <v>858</v>
      </c>
      <c r="D2" s="151" t="s">
        <v>855</v>
      </c>
    </row>
    <row r="3" spans="1:4" ht="13.5" customHeight="1">
      <c r="B3" s="152"/>
      <c r="C3" s="152"/>
      <c r="D3" s="152"/>
    </row>
    <row r="5" spans="1:4" ht="13.5" customHeight="1" thickBot="1">
      <c r="A5" s="135" t="s">
        <v>164</v>
      </c>
    </row>
    <row r="6" spans="1:4" ht="13.5" customHeight="1">
      <c r="A6" s="109" t="s">
        <v>151</v>
      </c>
      <c r="B6" s="110" t="str">
        <f>B$2</f>
        <v>Rohit C. Mehta</v>
      </c>
      <c r="C6" s="325" t="str">
        <f t="shared" ref="C6:D6" si="0">C$2</f>
        <v>S.M Palia</v>
      </c>
      <c r="D6" s="325" t="str">
        <f t="shared" si="0"/>
        <v>Renu Sud Karnad</v>
      </c>
    </row>
    <row r="7" spans="1:4" ht="13.5" customHeight="1">
      <c r="A7" s="113" t="s">
        <v>165</v>
      </c>
      <c r="B7" s="123">
        <f>VLOOKUP(B$2,Output!$B$72:$J$80,5,FALSE)</f>
        <v>3</v>
      </c>
      <c r="C7" s="326">
        <f>VLOOKUP(C$2,Output!$B$72:$J$80,5,FALSE)</f>
        <v>4</v>
      </c>
      <c r="D7" s="326">
        <f>VLOOKUP(D$2,Output!$B$72:$J$80,5,FALSE)</f>
        <v>13</v>
      </c>
    </row>
    <row r="8" spans="1:4" ht="13.5" customHeight="1">
      <c r="A8" s="111" t="s">
        <v>166</v>
      </c>
      <c r="B8" s="112">
        <f>VLOOKUP(B$2,Output!$B$72:$J$80,6,FALSE)</f>
        <v>4</v>
      </c>
      <c r="C8" s="112">
        <f>VLOOKUP(C$2,Output!$B$72:$J$80,6,FALSE)</f>
        <v>2</v>
      </c>
      <c r="D8" s="112">
        <f>VLOOKUP(D$2,Output!$B$72:$J$80,6,FALSE)</f>
        <v>5</v>
      </c>
    </row>
    <row r="9" spans="1:4" ht="13.5" customHeight="1">
      <c r="A9" s="113" t="s">
        <v>167</v>
      </c>
      <c r="B9" s="123">
        <f>VLOOKUP(B$2,Output!$B$72:$J$80,7,FALSE)</f>
        <v>2</v>
      </c>
      <c r="C9" s="326">
        <f>VLOOKUP(C$2,Output!$B$72:$J$80,7,FALSE)</f>
        <v>1</v>
      </c>
      <c r="D9" s="326">
        <f>VLOOKUP(D$2,Output!$B$72:$J$80,7,FALSE)</f>
        <v>3</v>
      </c>
    </row>
    <row r="10" spans="1:4" ht="13.5" customHeight="1" thickBot="1">
      <c r="A10" s="118" t="s">
        <v>168</v>
      </c>
      <c r="B10" s="119"/>
      <c r="C10" s="119"/>
      <c r="D10" s="119"/>
    </row>
    <row r="11" spans="1:4" ht="13.5" customHeight="1">
      <c r="A11" s="136" t="s">
        <v>169</v>
      </c>
    </row>
    <row r="12" spans="1:4" ht="13.5" customHeight="1">
      <c r="A12" s="136"/>
    </row>
    <row r="13" spans="1:4" ht="13.5" customHeight="1" thickBot="1">
      <c r="A13" s="135" t="s">
        <v>170</v>
      </c>
    </row>
    <row r="14" spans="1:4" ht="13.5" customHeight="1">
      <c r="A14" s="109" t="s">
        <v>171</v>
      </c>
      <c r="B14" s="110" t="str">
        <f>B$2</f>
        <v>Rohit C. Mehta</v>
      </c>
      <c r="C14" s="325" t="str">
        <f t="shared" ref="C14:D14" si="1">C$2</f>
        <v>S.M Palia</v>
      </c>
      <c r="D14" s="325" t="str">
        <f t="shared" si="1"/>
        <v>Renu Sud Karnad</v>
      </c>
    </row>
    <row r="15" spans="1:4" ht="13.5" customHeight="1">
      <c r="A15" s="111" t="s">
        <v>172</v>
      </c>
      <c r="B15" s="112" t="str">
        <f>VLOOKUP(B$2,Output!$B$94:$C$102,2,FALSE)</f>
        <v>0/3</v>
      </c>
      <c r="C15" s="112" t="str">
        <f>VLOOKUP(C$2,Output!$B$94:$C$102,2,FALSE)</f>
        <v>3/3</v>
      </c>
      <c r="D15" s="112" t="str">
        <f>VLOOKUP(D$2,Output!$B$94:$C$102,2,FALSE)</f>
        <v>2/3</v>
      </c>
    </row>
    <row r="16" spans="1:4" ht="13.5" customHeight="1">
      <c r="A16" s="113" t="s">
        <v>173</v>
      </c>
      <c r="B16" s="120">
        <f>VLOOKUP(B$2,Output!$B$94:$D$102,3,FALSE)</f>
        <v>0.75</v>
      </c>
      <c r="C16" s="120">
        <f>VLOOKUP(C$2,Output!$B$94:$D$102,3,FALSE)</f>
        <v>1</v>
      </c>
      <c r="D16" s="120">
        <f>VLOOKUP(D$2,Output!$B$94:$D$102,3,FALSE)</f>
        <v>0.5</v>
      </c>
    </row>
    <row r="17" spans="1:4" ht="13.5" customHeight="1">
      <c r="A17" s="111" t="s">
        <v>174</v>
      </c>
      <c r="B17" s="121">
        <f>SUM(VLOOKUP(B$2,Input!$B$45:$H$64,2,FALSE),VLOOKUP(B$2,Input!$B$45:$H$64,4,FALSE),VLOOKUP(B$2,Input!$B$45:$H$64,6,FALSE))/SUM(VLOOKUP(B$2,Input!$B$45:$H$64,3,FALSE),VLOOKUP(B$2,Input!$B$45:$H$64,5,FALSE),VLOOKUP(B$2,Input!$B$45:$H$64,7,FALSE))</f>
        <v>0.69230769230769229</v>
      </c>
      <c r="C17" s="121">
        <f>SUM(VLOOKUP(C$2,Input!$B$45:$H$64,2,FALSE),VLOOKUP(C$2,Input!$B$45:$H$64,4,FALSE),VLOOKUP(C$2,Input!$B$45:$H$64,6,FALSE))/SUM(VLOOKUP(C$2,Input!$B$45:$H$64,3,FALSE),VLOOKUP(C$2,Input!$B$45:$H$64,5,FALSE),VLOOKUP(C$2,Input!$B$45:$H$64,7,FALSE))</f>
        <v>1</v>
      </c>
      <c r="D17" s="121">
        <f>SUM(VLOOKUP(D$2,Input!$B$45:$H$64,2,FALSE),VLOOKUP(D$2,Input!$B$45:$H$64,4,FALSE),VLOOKUP(D$2,Input!$B$45:$H$64,6,FALSE))/SUM(VLOOKUP(D$2,Input!$B$45:$H$64,3,FALSE),VLOOKUP(D$2,Input!$B$45:$H$64,5,FALSE),VLOOKUP(D$2,Input!$B$45:$H$64,7,FALSE))</f>
        <v>0.84615384615384615</v>
      </c>
    </row>
    <row r="18" spans="1:4" ht="13.5" customHeight="1">
      <c r="A18" s="113" t="s">
        <v>176</v>
      </c>
      <c r="B18" s="126" t="str">
        <f>IF(VLOOKUP(B$2,Output!$B$94:$M$102,12,FALSE)&lt;&gt;"",VLOOKUP(B$2,Output!$B$94:$M$102,12,FALSE),"NA")</f>
        <v>NA</v>
      </c>
      <c r="C18" s="126" t="str">
        <f>IF(VLOOKUP(C$2,Output!$B$94:$M$102,12,FALSE)&lt;&gt;"",VLOOKUP(C$2,Output!$B$94:$M$102,12,FALSE),"NA")</f>
        <v>NA</v>
      </c>
      <c r="D18" s="126" t="str">
        <f>IF(VLOOKUP(D$2,Output!$B$94:$M$102,12,FALSE)&lt;&gt;"",VLOOKUP(D$2,Output!$B$94:$M$102,12,FALSE),"NA")</f>
        <v>NA</v>
      </c>
    </row>
    <row r="19" spans="1:4" ht="13.5" customHeight="1">
      <c r="A19" s="111" t="s">
        <v>177</v>
      </c>
      <c r="B19" s="127" t="str">
        <f>IF(VLOOKUP(B$2,Output!$B$94:$M$102,9,FALSE)&lt;&gt;"",VLOOKUP(B$2,Output!$B$94:$M$102,9,FALSE),"NA")</f>
        <v>NA</v>
      </c>
      <c r="C19" s="127">
        <f>IF(VLOOKUP(C$2,Output!$B$94:$M$102,9,FALSE)&lt;&gt;"",VLOOKUP(C$2,Output!$B$94:$M$102,9,FALSE),"NA")</f>
        <v>1</v>
      </c>
      <c r="D19" s="127">
        <f>IF(VLOOKUP(D$2,Output!$B$94:$M$102,9,FALSE)&lt;&gt;"",VLOOKUP(D$2,Output!$B$94:$M$102,9,FALSE),"NA")</f>
        <v>1</v>
      </c>
    </row>
    <row r="20" spans="1:4" ht="13.5" customHeight="1" thickBot="1">
      <c r="A20" s="122" t="s">
        <v>175</v>
      </c>
      <c r="B20" s="125">
        <f>IF(VLOOKUP(B$2,Output!$B$94:$M$102,6,FALSE)&lt;&gt;"",VLOOKUP(B$2,Output!$B$94:$M$102,6,FALSE),"NA")</f>
        <v>0.8</v>
      </c>
      <c r="C20" s="125">
        <f>IF(VLOOKUP(C$2,Output!$B$94:$M$102,6,FALSE)&lt;&gt;"",VLOOKUP(C$2,Output!$B$94:$M$102,6,FALSE),"NA")</f>
        <v>1</v>
      </c>
      <c r="D20" s="125" t="str">
        <f>IF(VLOOKUP(D$2,Output!$B$94:$M$102,6,FALSE)&lt;&gt;"",VLOOKUP(D$2,Output!$B$94:$M$102,6,FALSE),"NA")</f>
        <v>NA</v>
      </c>
    </row>
  </sheetData>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promptTitle="y;n">
          <x14:formula1>
            <xm:f>OFFSET(Input!$B$3,0,0,Total_Directors,1)</xm:f>
          </x14:formula1>
          <xm:sqref>B2:D2</xm:sqref>
        </x14:dataValidation>
      </x14:dataValidations>
    </ex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enableFormatConditionsCalculation="0">
    <tabColor rgb="FF0070C0"/>
  </sheetPr>
  <dimension ref="A1:C29"/>
  <sheetViews>
    <sheetView showGridLines="0" workbookViewId="0">
      <selection activeCell="G36" sqref="G36"/>
    </sheetView>
  </sheetViews>
  <sheetFormatPr baseColWidth="10" defaultColWidth="9.1640625" defaultRowHeight="13.5" customHeight="1" x14ac:dyDescent="0"/>
  <cols>
    <col min="1" max="1" width="31.5" style="132" customWidth="1"/>
    <col min="2" max="3" width="21.5" style="132" customWidth="1"/>
    <col min="4" max="16384" width="9.1640625" style="132"/>
  </cols>
  <sheetData>
    <row r="1" spans="1:3" ht="13.5" customHeight="1">
      <c r="B1" s="131" t="s">
        <v>145</v>
      </c>
      <c r="C1" s="131" t="s">
        <v>145</v>
      </c>
    </row>
    <row r="2" spans="1:3" ht="13.5" customHeight="1">
      <c r="B2" s="133" t="s">
        <v>858</v>
      </c>
      <c r="C2" s="133" t="s">
        <v>865</v>
      </c>
    </row>
    <row r="3" spans="1:3" ht="13.5" customHeight="1">
      <c r="B3" s="140"/>
      <c r="C3" s="140"/>
    </row>
    <row r="4" spans="1:3" ht="13.5" customHeight="1" thickBot="1"/>
    <row r="5" spans="1:3" ht="13.5" customHeight="1">
      <c r="A5" s="109"/>
      <c r="B5" s="110" t="str">
        <f>B$2</f>
        <v>S.M Palia</v>
      </c>
      <c r="C5" s="325" t="str">
        <f>C$2</f>
        <v>Prafull Anubhai</v>
      </c>
    </row>
    <row r="6" spans="1:3" ht="13.5" customHeight="1">
      <c r="A6" s="111" t="s">
        <v>146</v>
      </c>
      <c r="B6" s="112"/>
      <c r="C6" s="112"/>
    </row>
    <row r="7" spans="1:3" ht="13.5" customHeight="1">
      <c r="A7" s="113" t="s">
        <v>7</v>
      </c>
      <c r="B7" s="123" t="str">
        <f>VLOOKUP(B$2,Output!$B$72:$J$80,8,FALSE)</f>
        <v>FI</v>
      </c>
      <c r="C7" s="326" t="e">
        <f>VLOOKUP(C$2,Output!$B$72:$J$80,8,FALSE)</f>
        <v>#N/A</v>
      </c>
    </row>
    <row r="8" spans="1:3" ht="13.5" customHeight="1">
      <c r="A8" s="111" t="s">
        <v>19</v>
      </c>
      <c r="B8" s="124" t="str">
        <f>VLOOKUP(B$2,Output!$B$72:$J$80,9,FALSE)</f>
        <v>B.Com, LLB, CAIIB, CAIB</v>
      </c>
      <c r="C8" s="327" t="e">
        <f>VLOOKUP(C$2,Output!$B$72:$J$80,9,FALSE)</f>
        <v>#N/A</v>
      </c>
    </row>
    <row r="9" spans="1:3" ht="13.5" customHeight="1">
      <c r="A9" s="113" t="s">
        <v>179</v>
      </c>
      <c r="B9" s="114" t="str">
        <f>IF(RIGHT(VLOOKUP(B$2,Output!$B$61:$E$69,4,FALSE),1)="P","Yes","No")</f>
        <v>No</v>
      </c>
      <c r="C9" s="114" t="e">
        <f>IF(RIGHT(VLOOKUP(C$2,Output!$B$61:$E$69,4,FALSE),1)="P","Yes","No")</f>
        <v>#N/A</v>
      </c>
    </row>
    <row r="10" spans="1:3" ht="13.5" customHeight="1">
      <c r="A10" s="111" t="s">
        <v>147</v>
      </c>
      <c r="B10" s="112"/>
      <c r="C10" s="112"/>
    </row>
    <row r="11" spans="1:3" ht="13.5" customHeight="1">
      <c r="A11" s="113" t="s">
        <v>148</v>
      </c>
      <c r="B11" s="114"/>
      <c r="C11" s="114"/>
    </row>
    <row r="12" spans="1:3" ht="13.5" customHeight="1" thickBot="1">
      <c r="A12" s="128" t="s">
        <v>149</v>
      </c>
      <c r="B12" s="129"/>
      <c r="C12" s="129"/>
    </row>
    <row r="14" spans="1:3" ht="13.5" customHeight="1" thickBot="1">
      <c r="A14" s="135" t="s">
        <v>164</v>
      </c>
    </row>
    <row r="15" spans="1:3" ht="13.5" customHeight="1">
      <c r="A15" s="109" t="s">
        <v>151</v>
      </c>
      <c r="B15" s="110" t="str">
        <f>B$2</f>
        <v>S.M Palia</v>
      </c>
      <c r="C15" s="325" t="str">
        <f>C$2</f>
        <v>Prafull Anubhai</v>
      </c>
    </row>
    <row r="16" spans="1:3" ht="13.5" customHeight="1">
      <c r="A16" s="113" t="s">
        <v>165</v>
      </c>
      <c r="B16" s="123">
        <f>VLOOKUP(B$2,Output!$B$72:$J$80,5,FALSE)</f>
        <v>4</v>
      </c>
      <c r="C16" s="326" t="e">
        <f>VLOOKUP(C$2,Output!$B$72:$J$80,5,FALSE)</f>
        <v>#N/A</v>
      </c>
    </row>
    <row r="17" spans="1:3" ht="13.5" customHeight="1">
      <c r="A17" s="111" t="s">
        <v>166</v>
      </c>
      <c r="B17" s="112">
        <f>VLOOKUP(B$2,Output!$B$72:$J$80,6,FALSE)</f>
        <v>2</v>
      </c>
      <c r="C17" s="112" t="e">
        <f>VLOOKUP(C$2,Output!$B$72:$J$80,6,FALSE)</f>
        <v>#N/A</v>
      </c>
    </row>
    <row r="18" spans="1:3" ht="13.5" customHeight="1">
      <c r="A18" s="113" t="s">
        <v>167</v>
      </c>
      <c r="B18" s="123">
        <f>VLOOKUP(B$2,Output!$B$72:$J$80,7,FALSE)</f>
        <v>1</v>
      </c>
      <c r="C18" s="326" t="e">
        <f>VLOOKUP(C$2,Output!$B$72:$J$80,7,FALSE)</f>
        <v>#N/A</v>
      </c>
    </row>
    <row r="19" spans="1:3" ht="13.5" customHeight="1" thickBot="1">
      <c r="A19" s="118" t="s">
        <v>168</v>
      </c>
      <c r="B19" s="119"/>
      <c r="C19" s="119"/>
    </row>
    <row r="20" spans="1:3" ht="13.5" customHeight="1">
      <c r="A20" s="136" t="s">
        <v>169</v>
      </c>
    </row>
    <row r="21" spans="1:3" ht="13.5" customHeight="1">
      <c r="A21" s="136"/>
    </row>
    <row r="22" spans="1:3" ht="13.5" customHeight="1" thickBot="1">
      <c r="A22" s="135" t="s">
        <v>170</v>
      </c>
    </row>
    <row r="23" spans="1:3" ht="13.5" customHeight="1">
      <c r="A23" s="109" t="s">
        <v>171</v>
      </c>
      <c r="B23" s="110" t="str">
        <f>B$2</f>
        <v>S.M Palia</v>
      </c>
      <c r="C23" s="325" t="str">
        <f>C$2</f>
        <v>Prafull Anubhai</v>
      </c>
    </row>
    <row r="24" spans="1:3" ht="13.5" customHeight="1">
      <c r="A24" s="111" t="s">
        <v>172</v>
      </c>
      <c r="B24" s="112" t="str">
        <f>VLOOKUP(B$2,Output!$B$94:$C$102,2,FALSE)</f>
        <v>3/3</v>
      </c>
      <c r="C24" s="112" t="e">
        <f>VLOOKUP(C$2,Output!$B$94:$C$102,2,FALSE)</f>
        <v>#N/A</v>
      </c>
    </row>
    <row r="25" spans="1:3" ht="13.5" customHeight="1">
      <c r="A25" s="113" t="s">
        <v>173</v>
      </c>
      <c r="B25" s="120">
        <f>VLOOKUP(B$2,Output!$B$94:$D$102,3,FALSE)</f>
        <v>1</v>
      </c>
      <c r="C25" s="120" t="e">
        <f>VLOOKUP(C$2,Output!$B$94:$D$102,3,FALSE)</f>
        <v>#N/A</v>
      </c>
    </row>
    <row r="26" spans="1:3" ht="13.5" customHeight="1">
      <c r="A26" s="111" t="s">
        <v>174</v>
      </c>
      <c r="B26" s="121">
        <f>SUM(VLOOKUP(B$2,Input!$B$45:$H$64,2,FALSE),VLOOKUP(B$2,Input!$B$45:$H$64,4,FALSE),VLOOKUP(B$2,Input!$B$45:$H$64,6,FALSE))/SUM(VLOOKUP(B$2,Input!$B$45:$H$64,3,FALSE),VLOOKUP(B$2,Input!$B$45:$H$64,5,FALSE),VLOOKUP(B$2,Input!$B$45:$H$64,7,FALSE))</f>
        <v>1</v>
      </c>
      <c r="C26" s="121">
        <f>SUM(VLOOKUP(C$2,Input!$B$45:$H$64,2,FALSE),VLOOKUP(C$2,Input!$B$45:$H$64,4,FALSE),VLOOKUP(C$2,Input!$B$45:$H$64,6,FALSE))/SUM(VLOOKUP(C$2,Input!$B$45:$H$64,3,FALSE),VLOOKUP(C$2,Input!$B$45:$H$64,5,FALSE),VLOOKUP(C$2,Input!$B$45:$H$64,7,FALSE))</f>
        <v>1</v>
      </c>
    </row>
    <row r="27" spans="1:3" ht="13.5" customHeight="1">
      <c r="A27" s="113" t="s">
        <v>176</v>
      </c>
      <c r="B27" s="126" t="str">
        <f>IF(VLOOKUP(B$2,Output!$B$94:$M$102,12,FALSE)&lt;&gt;"",VLOOKUP(B$2,Output!$B$94:$M$102,12,FALSE),"NA")</f>
        <v>NA</v>
      </c>
      <c r="C27" s="126" t="e">
        <f>IF(VLOOKUP(C$2,Output!$B$94:$M$102,12,FALSE)&lt;&gt;"",VLOOKUP(C$2,Output!$B$94:$M$102,12,FALSE),"NA")</f>
        <v>#N/A</v>
      </c>
    </row>
    <row r="28" spans="1:3" ht="13.5" customHeight="1">
      <c r="A28" s="111" t="s">
        <v>177</v>
      </c>
      <c r="B28" s="127">
        <f>IF(VLOOKUP(B$2,Output!$B$94:$M$102,9,FALSE)&lt;&gt;"",VLOOKUP(B$2,Output!$B$94:$M$102,9,FALSE),"NA")</f>
        <v>1</v>
      </c>
      <c r="C28" s="127" t="e">
        <f>IF(VLOOKUP(C$2,Output!$B$94:$M$102,9,FALSE)&lt;&gt;"",VLOOKUP(C$2,Output!$B$94:$M$102,9,FALSE),"NA")</f>
        <v>#N/A</v>
      </c>
    </row>
    <row r="29" spans="1:3" ht="13.5" customHeight="1" thickBot="1">
      <c r="A29" s="122" t="s">
        <v>175</v>
      </c>
      <c r="B29" s="125">
        <f>IF(VLOOKUP(B$2,Output!$B$94:$M$102,6,FALSE)&lt;&gt;"",VLOOKUP(B$2,Output!$B$94:$M$102,6,FALSE),"NA")</f>
        <v>1</v>
      </c>
      <c r="C29" s="125" t="e">
        <f>IF(VLOOKUP(C$2,Output!$B$94:$M$102,6,FALSE)&lt;&gt;"",VLOOKUP(C$2,Output!$B$94:$M$102,6,FALSE),"NA")</f>
        <v>#N/A</v>
      </c>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promptTitle="y;n">
          <x14:formula1>
            <xm:f>OFFSET(Input!$B$3,0,0,Total_Directors,1)</xm:f>
          </x14:formula1>
          <xm:sqref>B2:C2</xm:sqref>
        </x14:dataValidation>
      </x14:dataValidations>
    </ex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enableFormatConditionsCalculation="0">
    <tabColor rgb="FF92D050"/>
  </sheetPr>
  <dimension ref="B2:N11"/>
  <sheetViews>
    <sheetView showGridLines="0" workbookViewId="0">
      <selection activeCell="F14" sqref="F14"/>
    </sheetView>
  </sheetViews>
  <sheetFormatPr baseColWidth="10" defaultColWidth="8.6640625" defaultRowHeight="14" x14ac:dyDescent="0"/>
  <cols>
    <col min="1" max="1" width="8.6640625" style="375"/>
    <col min="2" max="2" width="16.83203125" style="375" bestFit="1" customWidth="1"/>
    <col min="3" max="3" width="14.5" style="375" bestFit="1" customWidth="1"/>
    <col min="4" max="4" width="4.83203125" style="375" customWidth="1"/>
    <col min="5" max="5" width="11.5" style="375" bestFit="1" customWidth="1"/>
    <col min="6" max="6" width="15.83203125" style="375" bestFit="1" customWidth="1"/>
    <col min="7" max="7" width="21.33203125" style="375" bestFit="1" customWidth="1"/>
    <col min="8" max="8" width="1.6640625" style="375" bestFit="1" customWidth="1"/>
    <col min="9" max="9" width="3.1640625" style="375" bestFit="1" customWidth="1"/>
    <col min="10" max="10" width="13" style="375" bestFit="1" customWidth="1"/>
    <col min="11" max="11" width="1.6640625" style="375" bestFit="1" customWidth="1"/>
    <col min="12" max="12" width="8.6640625" style="375"/>
    <col min="13" max="13" width="15.1640625" style="375" customWidth="1"/>
    <col min="14" max="16384" width="8.6640625" style="375"/>
  </cols>
  <sheetData>
    <row r="2" spans="2:14">
      <c r="C2" s="562"/>
      <c r="D2" s="562"/>
      <c r="F2" s="562"/>
      <c r="G2" s="562"/>
      <c r="I2" s="562"/>
      <c r="J2" s="562"/>
      <c r="L2" s="562"/>
      <c r="M2" s="562"/>
    </row>
    <row r="3" spans="2:14">
      <c r="C3" s="449" t="s">
        <v>1267</v>
      </c>
      <c r="D3" s="450"/>
      <c r="F3" s="449" t="s">
        <v>1264</v>
      </c>
      <c r="G3" s="450"/>
      <c r="I3" s="563" t="s">
        <v>1337</v>
      </c>
      <c r="J3" s="564"/>
      <c r="L3" s="433"/>
      <c r="M3" s="433"/>
    </row>
    <row r="4" spans="2:14">
      <c r="C4" s="447" t="s">
        <v>1268</v>
      </c>
      <c r="D4" s="447">
        <f>COUNTIF(Input!$AD$3:$AD$22,"&gt; 20")</f>
        <v>4</v>
      </c>
      <c r="F4" s="447" t="s">
        <v>1265</v>
      </c>
      <c r="G4" s="447">
        <f>COUNTIF(Input!$Q$3:$Q$22,"&gt; 10")</f>
        <v>3</v>
      </c>
      <c r="I4" s="447" t="s">
        <v>1338</v>
      </c>
      <c r="J4" s="447">
        <f>COUNTIF(Input!$AE$3:$AE$22,"&gt; 7")</f>
        <v>2</v>
      </c>
      <c r="L4" s="433"/>
      <c r="M4" s="433"/>
    </row>
    <row r="5" spans="2:14">
      <c r="C5" s="447" t="s">
        <v>1269</v>
      </c>
      <c r="D5" s="447">
        <f>COUNTIF(Input!$AD$3:$AD$22,"&lt;= 20")</f>
        <v>5</v>
      </c>
      <c r="F5" s="447" t="s">
        <v>1266</v>
      </c>
      <c r="G5" s="447">
        <f>COUNTIF(Input!$Q$3:$Q$22,"&lt;= 10")</f>
        <v>6</v>
      </c>
      <c r="I5" s="447" t="s">
        <v>1339</v>
      </c>
      <c r="J5" s="447">
        <f>COUNTIF(Input!$AE$3:$AE$22,"&lt;= 7")</f>
        <v>7</v>
      </c>
    </row>
    <row r="7" spans="2:14">
      <c r="B7" s="565" t="s">
        <v>1340</v>
      </c>
      <c r="C7" s="566"/>
      <c r="D7" s="374"/>
      <c r="E7" s="374" t="s">
        <v>1400</v>
      </c>
      <c r="G7" s="445" t="s">
        <v>1270</v>
      </c>
      <c r="H7" s="446"/>
      <c r="J7" s="563" t="s">
        <v>1341</v>
      </c>
      <c r="K7" s="563"/>
    </row>
    <row r="8" spans="2:14">
      <c r="B8" s="444" t="s">
        <v>1401</v>
      </c>
      <c r="C8" s="444">
        <f>D8/E8</f>
        <v>0.22222222222222221</v>
      </c>
      <c r="D8" s="374">
        <f>COUNTIFS(Calculations_Sheet!$H$53:$H$72,"ID",Calculations_Sheet!$I$53:$I$72,"&lt;&gt; M(Resign)",Calculations_Sheet!$I$53:$I$72,"&lt;&gt; C(Resign)")</f>
        <v>2</v>
      </c>
      <c r="E8" s="374">
        <f>SUM($H$8:$H$10)</f>
        <v>9</v>
      </c>
      <c r="G8" s="374" t="s">
        <v>1275</v>
      </c>
      <c r="H8" s="374">
        <f>COUNTIFS(Input!$AB$3:$AB$22,"Y",Input!$H$3:$H$22,"&lt;&gt; M(Resign)",Input!$H$3:$H$22,"&lt;&gt; C(Resign)")</f>
        <v>3</v>
      </c>
      <c r="J8" s="447" t="s">
        <v>1342</v>
      </c>
      <c r="K8" s="451">
        <f>COUNTIFS(Input!$R$3:$R$22,"&lt; 10",Input!$S$3:$S$22,"&lt; 5")</f>
        <v>8</v>
      </c>
    </row>
    <row r="9" spans="2:14">
      <c r="B9" s="444" t="s">
        <v>1402</v>
      </c>
      <c r="C9" s="444">
        <f t="shared" ref="C9:C11" si="0">D9/E9</f>
        <v>0.77777777777777779</v>
      </c>
      <c r="D9" s="374">
        <f>E9-D8</f>
        <v>7</v>
      </c>
      <c r="E9" s="374">
        <f t="shared" ref="E9:E11" si="1">SUM($H$8:$H$10)</f>
        <v>9</v>
      </c>
      <c r="G9" s="374" t="s">
        <v>1276</v>
      </c>
      <c r="H9" s="374">
        <f>COUNTIFS(Input!$AB$3:$AB$22,"N",Input!$H$3:$H$22,"&lt;&gt; M(Resign)",Input!$H$3:$H$22,"&lt;&gt; C(Resign)")</f>
        <v>2</v>
      </c>
      <c r="J9" s="447" t="s">
        <v>1343</v>
      </c>
      <c r="K9" s="451">
        <f>COUNT(Input!$R$3:$R$22)-COUNTIFS(Input!$R$3:$R$22,"&lt; 10",Input!$S$3:$S$22,"&lt; 5")</f>
        <v>1</v>
      </c>
    </row>
    <row r="10" spans="2:14">
      <c r="B10" s="444" t="s">
        <v>1403</v>
      </c>
      <c r="C10" s="444">
        <f t="shared" si="0"/>
        <v>0.44444444444444442</v>
      </c>
      <c r="D10" s="374">
        <f>E10-D11</f>
        <v>4</v>
      </c>
      <c r="E10" s="374">
        <f t="shared" si="1"/>
        <v>9</v>
      </c>
      <c r="G10" s="374" t="s">
        <v>832</v>
      </c>
      <c r="H10" s="374">
        <f>COUNTIFS(Input!$AB$3:$AB$22,"NA",Input!$H$3:$H$22,"&lt;&gt; M(Resign)",Input!$H$3:$H$22,"&lt;&gt; C(Resign)")</f>
        <v>4</v>
      </c>
      <c r="J10" s="447" t="s">
        <v>832</v>
      </c>
      <c r="K10" s="451">
        <f>COUNTIF(Input!$AB$3:$AB$22,"NA")</f>
        <v>4</v>
      </c>
      <c r="M10" s="452"/>
      <c r="N10" s="452"/>
    </row>
    <row r="11" spans="2:14">
      <c r="B11" s="444" t="s">
        <v>1404</v>
      </c>
      <c r="C11" s="444">
        <f t="shared" si="0"/>
        <v>0.55555555555555558</v>
      </c>
      <c r="D11" s="374">
        <f>COUNTIFS(Calculations_Sheet!$G$53:$G$72,"ID",Calculations_Sheet!$I$53:$I$72,"&lt;&gt; M(Resign)",Calculations_Sheet!$I$53:$I$72,"&lt;&gt; C(Resign)")</f>
        <v>5</v>
      </c>
      <c r="E11" s="374">
        <f t="shared" si="1"/>
        <v>9</v>
      </c>
      <c r="J11" s="448"/>
      <c r="K11" s="448"/>
    </row>
  </sheetData>
  <mergeCells count="7">
    <mergeCell ref="C2:D2"/>
    <mergeCell ref="F2:G2"/>
    <mergeCell ref="I2:J2"/>
    <mergeCell ref="L2:M2"/>
    <mergeCell ref="J7:K7"/>
    <mergeCell ref="I3:J3"/>
    <mergeCell ref="B7:C7"/>
  </mergeCells>
  <pageMargins left="0.7" right="0.7" top="0.75" bottom="0.75" header="0.3" footer="0.3"/>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tabColor rgb="FF00B050"/>
  </sheetPr>
  <dimension ref="B1:P108"/>
  <sheetViews>
    <sheetView showGridLines="0" workbookViewId="0">
      <pane xSplit="2" ySplit="4" topLeftCell="C96" activePane="bottomRight" state="frozen"/>
      <selection pane="topRight" activeCell="C1" sqref="C1"/>
      <selection pane="bottomLeft" activeCell="A5" sqref="A5"/>
      <selection pane="bottomRight" activeCell="A102" sqref="A102"/>
    </sheetView>
  </sheetViews>
  <sheetFormatPr baseColWidth="10" defaultColWidth="14.33203125" defaultRowHeight="12" x14ac:dyDescent="0"/>
  <cols>
    <col min="1" max="1" width="3.33203125" style="17" customWidth="1"/>
    <col min="2" max="2" width="52.5" style="34" bestFit="1" customWidth="1"/>
    <col min="3" max="3" width="17.83203125" style="17" bestFit="1" customWidth="1"/>
    <col min="4" max="4" width="20.6640625" style="17" bestFit="1" customWidth="1"/>
    <col min="5" max="5" width="14.83203125" style="17" bestFit="1" customWidth="1"/>
    <col min="6" max="6" width="10.5" style="17" bestFit="1" customWidth="1"/>
    <col min="7" max="7" width="9.5" style="17" bestFit="1" customWidth="1"/>
    <col min="8" max="8" width="14" style="17" bestFit="1" customWidth="1"/>
    <col min="9" max="10" width="20.83203125" style="17" bestFit="1" customWidth="1"/>
    <col min="11" max="11" width="22" style="17" bestFit="1" customWidth="1"/>
    <col min="12" max="12" width="18.33203125" style="17" bestFit="1" customWidth="1"/>
    <col min="13" max="13" width="22.1640625" style="17" bestFit="1" customWidth="1"/>
    <col min="14" max="14" width="21.1640625" style="17" customWidth="1"/>
    <col min="15" max="15" width="18.6640625" style="17" customWidth="1"/>
    <col min="16" max="16384" width="14.33203125" style="17"/>
  </cols>
  <sheetData>
    <row r="1" spans="2:16" ht="14">
      <c r="B1" s="56" t="str">
        <f>Calculations_Sheet!B18&amp;" for year "&amp;Input!B1</f>
        <v>UltraTech Cem. for year 2015</v>
      </c>
    </row>
    <row r="3" spans="2:16" ht="12" customHeight="1">
      <c r="B3" s="57" t="s">
        <v>59</v>
      </c>
      <c r="C3" s="567" t="s">
        <v>85</v>
      </c>
      <c r="D3" s="568"/>
      <c r="E3" s="569"/>
      <c r="F3" s="567" t="s">
        <v>82</v>
      </c>
      <c r="G3" s="568"/>
      <c r="H3" s="569"/>
      <c r="I3" s="567" t="s">
        <v>81</v>
      </c>
      <c r="J3" s="568"/>
      <c r="K3" s="569"/>
      <c r="L3" s="32" t="s">
        <v>83</v>
      </c>
      <c r="M3" s="570" t="s">
        <v>84</v>
      </c>
      <c r="N3" s="571"/>
      <c r="O3" s="572"/>
    </row>
    <row r="4" spans="2:16" ht="24">
      <c r="B4" s="6"/>
      <c r="C4" s="96" t="s">
        <v>22</v>
      </c>
      <c r="D4" s="97" t="s">
        <v>58</v>
      </c>
      <c r="E4" s="98" t="s">
        <v>90</v>
      </c>
      <c r="F4" s="96" t="s">
        <v>78</v>
      </c>
      <c r="G4" s="97" t="s">
        <v>79</v>
      </c>
      <c r="H4" s="98" t="s">
        <v>80</v>
      </c>
      <c r="I4" s="96" t="s">
        <v>78</v>
      </c>
      <c r="J4" s="97" t="s">
        <v>79</v>
      </c>
      <c r="K4" s="98" t="s">
        <v>80</v>
      </c>
      <c r="L4" s="36" t="s">
        <v>66</v>
      </c>
      <c r="M4" s="96" t="s">
        <v>23</v>
      </c>
      <c r="N4" s="97" t="s">
        <v>64</v>
      </c>
      <c r="O4" s="98" t="s">
        <v>65</v>
      </c>
      <c r="P4" s="36" t="s">
        <v>144</v>
      </c>
    </row>
    <row r="5" spans="2:16">
      <c r="B5" s="6" t="s">
        <v>24</v>
      </c>
      <c r="C5" s="99">
        <f>COUNTIF(Input!$B$3:$B$22,"&lt;&gt;")-COUNTIF(Input!$D$3:$D$22,"&lt;&gt;")</f>
        <v>9</v>
      </c>
      <c r="D5" s="100">
        <f>COUNTIF(Input!$D$3:D$22,"&lt;&gt;")</f>
        <v>0</v>
      </c>
      <c r="E5" s="101">
        <f ca="1">COUNTIF(OFFSET(Input!G3,0,0,Total_Directors,1),"=NEDP")+COUNTIF(OFFSET(Input!G3,0,0,Total_Directors,1),"=EDP")</f>
        <v>2</v>
      </c>
      <c r="F5" s="102">
        <f ca="1">(COUNTIF(OFFSET(Input!$G$3,0,0,Total_Directors,1),"="&amp;"ID"))</f>
        <v>5</v>
      </c>
      <c r="G5" s="103">
        <f ca="1">F5/Total_Directors</f>
        <v>0.55555555555555558</v>
      </c>
      <c r="H5" s="104" t="str">
        <f t="array" aca="1" ref="H5" ca="1">IF(Total_Directors&lt;&gt;0,OFFSET(Calculations_Sheet!$G$52,MATCH("C",LEFT(Input!$H$3:$H$22,1),0),0),"NA")</f>
        <v>NEDP</v>
      </c>
      <c r="I5" s="102">
        <f ca="1">(COUNTIF(OFFSET(Calculations_Sheet!$H$53,0,0,Total_Directors,1),"="&amp;"ID"))</f>
        <v>2</v>
      </c>
      <c r="J5" s="103">
        <f ca="1">I5/Total_Directors</f>
        <v>0.22222222222222221</v>
      </c>
      <c r="K5" s="104" t="str">
        <f t="array" aca="1" ref="K5" ca="1">IF(Total_Directors&lt;&gt;0,OFFSET(Calculations_Sheet!$H$52,MATCH("C",LEFT(Input!$H$3:$H$22,1),0),0),"NA")</f>
        <v>NEDP</v>
      </c>
      <c r="L5" s="16" t="str">
        <f t="array" aca="1" ref="L5" ca="1">IF(C5&lt;&gt;0,OFFSET(Input!P2,MATCH("C",LEFT(Input!$H$3:$H$22,1),0),0),"NA")</f>
        <v>3/3</v>
      </c>
      <c r="M5" s="99">
        <f>MAX(Input!$D$45:$D$64)</f>
        <v>4</v>
      </c>
      <c r="N5" s="105">
        <f t="array" ref="N5:N9" ca="1">TRANSPOSE(Calculations_Sheet!B49:F49)</f>
        <v>0.88888888888888884</v>
      </c>
      <c r="O5" s="106">
        <f t="array" ref="O5:O9">TRANSPOSE(Calculations_Sheet!B48:F48)</f>
        <v>1</v>
      </c>
      <c r="P5" s="18">
        <f t="array" ref="P5">SUMPRODUCT(IF(LEFT(Input!$T$3:$T$22,2)="FI",1,0),IF(Input!$D$3:$D$22="",1,0))</f>
        <v>5</v>
      </c>
    </row>
    <row r="6" spans="2:16">
      <c r="B6" s="6" t="s">
        <v>10</v>
      </c>
      <c r="C6" s="99">
        <f>COUNTIF(Input!$I$3:$I$22,"&lt;&gt;")-COUNTIF(Input!$I$3:$I$22,"=M(Resign)")-COUNTIF(Input!$I$3:$I$22,"=C(Resign)")</f>
        <v>4</v>
      </c>
      <c r="D6" s="100">
        <f>COUNTIF(Input!$I$3:$I$22,"=M(Resign)" )+COUNTIF(Input!$I$3:$I$22,"=C(Resign)" )</f>
        <v>0</v>
      </c>
      <c r="E6" s="101">
        <f t="array" ref="E6">SUMPRODUCT((IF(Input!$I$3:$I$22="M",1,0)+IF(Input!$I$3:$I$22="C",1,0)),(IF(Input!$G$3:$G$22="NEDP",1,0)+IF(Input!$G$3:$G$22="EDP",1,0)))</f>
        <v>1</v>
      </c>
      <c r="F6" s="102">
        <f t="array" aca="1" ref="F6" ca="1">SUMPRODUCT(IF(OFFSET(Input!$G$3,0,0,Total_Directors,1)="ID",1,0),(IF(OFFSET(Input!$I$3,0,0,Total_Directors,1)="C",1,0)+IF(OFFSET(Input!$I$3,0,0,Total_Directors,1)="M",1,0)))</f>
        <v>3</v>
      </c>
      <c r="G6" s="103">
        <f ca="1">F6/C6</f>
        <v>0.75</v>
      </c>
      <c r="H6" s="104" t="str">
        <f ca="1">IF(C6&lt;&gt;0,OFFSET(Calculations_Sheet!G52,MATCH("C",Input!$I$3:$I$22,0),0),"NA")</f>
        <v>ID</v>
      </c>
      <c r="I6" s="102">
        <f t="array" aca="1" ref="I6" ca="1">SUMPRODUCT(IF(OFFSET(Calculations_Sheet!$H$53,0,0,Total_Directors,1)="ID",1,0),IF(OFFSET(Input!$I$3,0,0,Total_Directors,1)&lt;&gt;"",1,0))</f>
        <v>0</v>
      </c>
      <c r="J6" s="103">
        <f ca="1">I6/C6</f>
        <v>0</v>
      </c>
      <c r="K6" s="104" t="str">
        <f ca="1">IF(C6&lt;&gt;0,OFFSET(Calculations_Sheet!H52,MATCH("C",Input!$I$3:$I$22,0),0),"NA")</f>
        <v>NED</v>
      </c>
      <c r="L6" s="16" t="str">
        <f t="array" aca="1" ref="L6" ca="1">IF(C6&lt;&gt;0,OFFSET(Input!P2,MATCH("C",LEFT(Input!$I$3:$I$22,1),0),0),"NA")</f>
        <v>3/3</v>
      </c>
      <c r="M6" s="99">
        <f>MAX(Input!$D$66:$D$85)</f>
        <v>4</v>
      </c>
      <c r="N6" s="105">
        <f ca="1"/>
        <v>0.9375</v>
      </c>
      <c r="O6" s="106">
        <v>0</v>
      </c>
      <c r="P6" s="18">
        <f t="array" ref="P6">SUMPRODUCT(IF(LEFT(Input!$T$3:$T$22,2)="FI",1,0),IF(Input!$I$3:$I$22="",0,IF(RIGHT(Input!$I$3:$I$22,8)="(Resign)",0,1)))</f>
        <v>2</v>
      </c>
    </row>
    <row r="7" spans="2:16">
      <c r="B7" s="6" t="s">
        <v>25</v>
      </c>
      <c r="C7" s="99">
        <f>COUNTIF(Input!$J$3:$J$22,"&lt;&gt;")-COUNTIF(Input!$J$3:$J$22,"=M(Resign)")-COUNTIF(Input!$J$3:$J$22,"=C(Resign)")</f>
        <v>4</v>
      </c>
      <c r="D7" s="100">
        <f>COUNTIF(Input!$J$3:$J$22,"=M(Resign)" )+COUNTIF(Input!$J$3:$J$22,"=C(Resign)" )</f>
        <v>0</v>
      </c>
      <c r="E7" s="101">
        <f t="array" ref="E7">SUMPRODUCT((IF(Input!$J$3:$J$22="M",1,0)+IF(Input!$J$3:$J$22="C",1,0)),(IF(Input!$G$3:$G$22="NEDP",1,0)+IF(Input!$G$3:$G$22="EDP",1,0)))</f>
        <v>0</v>
      </c>
      <c r="F7" s="102">
        <f t="array" aca="1" ref="F7" ca="1">SUMPRODUCT(IF(OFFSET(Input!$G$3,0,0,Total_Directors,1)="ID",1,0),(IF(OFFSET(Input!$J$3,0,0,Total_Directors,1)="C",1,0)+IF(OFFSET(Input!$J$3,0,0,Total_Directors,1)="M",1,0)))</f>
        <v>3</v>
      </c>
      <c r="G7" s="103">
        <f ca="1">F7/C7</f>
        <v>0.75</v>
      </c>
      <c r="H7" s="104" t="str">
        <f ca="1">IF(C7&lt;&gt;0,OFFSET(Calculations_Sheet!G52,MATCH("C",Input!$J$3:$J$22,0),0),"NA")</f>
        <v>ID</v>
      </c>
      <c r="I7" s="102">
        <f t="array" aca="1" ref="I7" ca="1">SUMPRODUCT(IF(OFFSET(Calculations_Sheet!$H$53,0,0,Total_Directors,1)="ID",1,0),IF(OFFSET(Input!$J$3,0,0,Total_Directors,1)&lt;&gt;"",1,0))</f>
        <v>2</v>
      </c>
      <c r="J7" s="103">
        <f ca="1">I7/C7</f>
        <v>0.5</v>
      </c>
      <c r="K7" s="104" t="str">
        <f ca="1">IF(C7&lt;&gt;0,OFFSET(Calculations_Sheet!H52,MATCH("C",Input!$J$3:$J$22,0),0),"NA")</f>
        <v>NED</v>
      </c>
      <c r="L7" s="16" t="str">
        <f t="array" aca="1" ref="L7" ca="1">IF(C7&lt;&gt;0,OFFSET(Input!P2,MATCH("C",LEFT(Input!$J$3:$J$22,1),0),0),"NA")</f>
        <v>0/3</v>
      </c>
      <c r="M7" s="107"/>
      <c r="N7" s="105">
        <v>0</v>
      </c>
      <c r="O7" s="106">
        <v>0</v>
      </c>
      <c r="P7" s="18">
        <f t="array" ref="P7">SUMPRODUCT(IF(LEFT(Input!$T$3:$T$22,2)="FI",1,0),IF(Input!$J$3:$J$22="",0,IF(RIGHT(Input!$J$3:$J$22,8)="(Resign)",0,1)))</f>
        <v>2</v>
      </c>
    </row>
    <row r="8" spans="2:16">
      <c r="B8" s="6" t="s">
        <v>26</v>
      </c>
      <c r="C8" s="99">
        <f>COUNTIF(Input!$K$3:$K$22,"&lt;&gt;")-COUNTIF(Input!$K$3:$K$22,"=M(Resign)")-COUNTIF(Input!$K$3:$K$22,"=C(Resign)")</f>
        <v>3</v>
      </c>
      <c r="D8" s="100">
        <f>COUNTIF(Input!$K$3:$K$22,"=M(Resign)" )+COUNTIF(Input!$K$3:$K$22,"=C(Resign)" )</f>
        <v>0</v>
      </c>
      <c r="E8" s="101">
        <f t="array" ref="E8">SUMPRODUCT((IF(Input!$K$3:$K$22="M",1,0)+IF(Input!$K$3:$K$22="C",1,0)),(IF(Input!$G$3:$G$22="NEDP",1,0)+IF(Input!$G$3:$G$22="EDP",1,0)))</f>
        <v>2</v>
      </c>
      <c r="F8" s="102">
        <f t="array" aca="1" ref="F8" ca="1">SUMPRODUCT(IF(OFFSET(Input!$G$3,0,0,Total_Directors,1)="ID",1,0),(IF(OFFSET(Input!$K$3,0,0,Total_Directors,1)="C",1,0)+IF(OFFSET(Input!$K$3,0,0,Total_Directors,1)="M",1,0)))</f>
        <v>1</v>
      </c>
      <c r="G8" s="103">
        <f ca="1">IF(C8=0,"NA",F8/C8)</f>
        <v>0.33333333333333331</v>
      </c>
      <c r="H8" s="104" t="str">
        <f ca="1">IF(C8&lt;&gt;0,OFFSET(Calculations_Sheet!G52,MATCH("C",Input!$K$3:$K$22,0),0),"NA")</f>
        <v>ID</v>
      </c>
      <c r="I8" s="102">
        <f t="array" aca="1" ref="I8" ca="1">SUMPRODUCT(IF(OFFSET(Calculations_Sheet!$H$53,0,0,Total_Directors,1)="ID",1,0),IF(OFFSET(Input!$K$3,0,0,Total_Directors,1)&lt;&gt;"",1,0))</f>
        <v>0</v>
      </c>
      <c r="J8" s="103">
        <f ca="1">IF(C8=0,"NA",I8/C8)</f>
        <v>0</v>
      </c>
      <c r="K8" s="104" t="str">
        <f ca="1">IF(C8&lt;&gt;0,OFFSET(Calculations_Sheet!H52,MATCH("C",Input!$K$3:$K$22,0),0),"NA")</f>
        <v>NED</v>
      </c>
      <c r="L8" s="16" t="str">
        <f t="array" aca="1" ref="L8" ca="1">IF(C8&lt;&gt;0,OFFSET(Input!P2,MATCH("C",LEFT(Input!$K$3:$K$22,1),0),0),"NA")</f>
        <v>3/3</v>
      </c>
      <c r="M8" s="99">
        <f>MAX(Input!$D$87:$D$106)</f>
        <v>1</v>
      </c>
      <c r="N8" s="105">
        <f ca="1"/>
        <v>1</v>
      </c>
      <c r="O8" s="106">
        <v>0</v>
      </c>
      <c r="P8" s="18">
        <f t="array" ref="P8">SUMPRODUCT(IF(LEFT(Input!$T$3:$T$22,2)="FI",1,0),IF(Input!$K$3:$K$22="",0,IF(RIGHT(Input!$K$3:$K$22,8)="(Resign)",0,1)))</f>
        <v>3</v>
      </c>
    </row>
    <row r="9" spans="2:16">
      <c r="B9" s="6" t="s">
        <v>27</v>
      </c>
      <c r="C9" s="99">
        <f>COUNTIF(Input!$L$3:$L$22,"&lt;&gt;")-COUNTIF(Input!$L$3:$L$22,"=M(Resign)")-COUNTIF(Input!$L$3:$L$22,"=C(Resign)")</f>
        <v>0</v>
      </c>
      <c r="D9" s="100">
        <f>COUNTIF(Input!$L$3:$L$22,"=M(Resign)" )+COUNTIF(Input!$L$3:$L$22,"=C(Resign)" )</f>
        <v>0</v>
      </c>
      <c r="E9" s="101">
        <f t="array" ref="E9">SUMPRODUCT((IF(Input!$L$3:$L$22="M",1,0)+IF(Input!$L$3:$L$22="C",1,0)),(IF(Input!$G$3:$G$22="NEDP",1,0)+IF(Input!$G$3:$G$22="EDP",1,0)))</f>
        <v>0</v>
      </c>
      <c r="F9" s="102">
        <f t="array" aca="1" ref="F9" ca="1">SUMPRODUCT(IF(OFFSET(Input!$G$3,0,0,Total_Directors,1)="ID",1,0),(IF(OFFSET(Input!$L$3,0,0,Total_Directors,1)="C",1,0)+IF(OFFSET(Input!$L$3,0,0,Total_Directors,1)="M",1,0)))</f>
        <v>0</v>
      </c>
      <c r="G9" s="103" t="str">
        <f>IF(C9=0,"NA",F9/C9)</f>
        <v>NA</v>
      </c>
      <c r="H9" s="104" t="str">
        <f ca="1">IF(C9&lt;&gt;0,OFFSET(Calculations_Sheet!G52,MATCH("C",Input!$L$3:$L$22,0),0),"NA")</f>
        <v>NA</v>
      </c>
      <c r="I9" s="102">
        <f t="array" aca="1" ref="I9" ca="1">SUMPRODUCT(IF(OFFSET(Calculations_Sheet!$H$53,0,0,Total_Directors,1)="ID",1,0),IF(OFFSET(Input!$L$3,0,0,Total_Directors,1)&lt;&gt;"",1,0))</f>
        <v>0</v>
      </c>
      <c r="J9" s="103" t="str">
        <f>IF(C9=0,"NA",I9/C9)</f>
        <v>NA</v>
      </c>
      <c r="K9" s="104" t="str">
        <f ca="1">IF(C9&lt;&gt;0,OFFSET(Calculations_Sheet!H52,MATCH("C",Input!$L$3:$L$22,0),0),"NA")</f>
        <v>NA</v>
      </c>
      <c r="L9" s="16" t="str">
        <f t="array" aca="1" ref="L9" ca="1">IF(C9&lt;&gt;0,OFFSET(Input!P2,MATCH("C",LEFT(Input!$L$3:$L$22,1),0),0),"NA")</f>
        <v>NA</v>
      </c>
      <c r="M9" s="99">
        <f>MAX(Input!$D$108:$D$127)</f>
        <v>0</v>
      </c>
      <c r="N9" s="105" t="str">
        <f ca="1"/>
        <v>NA</v>
      </c>
      <c r="O9" s="106">
        <v>0</v>
      </c>
      <c r="P9" s="18">
        <f t="array" ref="P9">SUMPRODUCT(IF(LEFT(Input!$T$3:$T$22,2)="FI",1,0),IF(Input!$L$3:$L$22="",0,IF(RIGHT(Input!$L$3:$L$22,8)="(Resign)",0,1)))</f>
        <v>0</v>
      </c>
    </row>
    <row r="11" spans="2:16">
      <c r="B11" s="57" t="s">
        <v>63</v>
      </c>
      <c r="C11" s="85" t="s">
        <v>61</v>
      </c>
      <c r="D11" s="85" t="s">
        <v>62</v>
      </c>
      <c r="E11" s="85" t="s">
        <v>73</v>
      </c>
    </row>
    <row r="12" spans="2:16">
      <c r="B12" s="87" t="s">
        <v>74</v>
      </c>
      <c r="C12" s="88">
        <f t="array" aca="1" ref="C12" ca="1">SUMPRODUCT(IF(OFFSET(Input!$G$3,0,0,Total_Directors,1)="ID",1,0),IF(OFFSET(Input!$Q$3,0,0,Total_Directors,1)&gt;Calculations_Sheet!$B$8,1,0))</f>
        <v>1</v>
      </c>
      <c r="D12" s="89">
        <f ca="1">C12/Output!$C$5</f>
        <v>0.1111111111111111</v>
      </c>
      <c r="E12" s="89">
        <f ca="1">C12/Output!$F$5</f>
        <v>0.2</v>
      </c>
    </row>
    <row r="13" spans="2:16">
      <c r="B13" s="90" t="s">
        <v>76</v>
      </c>
      <c r="C13" s="91">
        <f t="array" aca="1" ref="C13" ca="1">SUMPRODUCT(IF(OFFSET(Input!$G$3,0,0,Total_Directors,1)="ID",1,0),IF(OFFSET(Input!$R$3,0,0,Total_Directors,1)&gt;Calculations_Sheet!$B$9,1,0))</f>
        <v>0</v>
      </c>
      <c r="D13" s="92">
        <f ca="1">C13/Output!$C$5</f>
        <v>0</v>
      </c>
      <c r="E13" s="92">
        <f ca="1">C13/Output!$F$5</f>
        <v>0</v>
      </c>
    </row>
    <row r="14" spans="2:16">
      <c r="B14" s="90" t="s">
        <v>77</v>
      </c>
      <c r="C14" s="91">
        <f t="array" aca="1" ref="C14" ca="1">SUMPRODUCT(IF(OFFSET(Input!$G$3,0,0,Total_Directors,1)="ID",1,0),IF(OFFSET(Input!$S$4,0,0,Total_Directors,1)&gt;Calculations_Sheet!$B$10,1,0))</f>
        <v>0</v>
      </c>
      <c r="D14" s="92">
        <f ca="1">C14/Output!$C$5</f>
        <v>0</v>
      </c>
      <c r="E14" s="92">
        <f ca="1">C14/Output!$F$5</f>
        <v>0</v>
      </c>
    </row>
    <row r="15" spans="2:16">
      <c r="B15" s="90" t="s">
        <v>140</v>
      </c>
      <c r="C15" s="309">
        <f t="array" aca="1" ref="C15" ca="1">SUMPRODUCT(IF(OFFSET(Input!$G$3,0,0,Total_Directors,1)="ID",1,0),IF(OFFSET(Input!$Z$3,0,0,Total_Directors,1)="Y",1,0))</f>
        <v>0</v>
      </c>
      <c r="D15" s="92">
        <f ca="1">C15/Output!$C$5</f>
        <v>0</v>
      </c>
      <c r="E15" s="92">
        <f ca="1">C15/Output!$F$5</f>
        <v>0</v>
      </c>
    </row>
    <row r="16" spans="2:16">
      <c r="B16" s="93" t="s">
        <v>142</v>
      </c>
      <c r="C16" s="310">
        <f t="array" aca="1" ref="C16" ca="1">SUMPRODUCT(IF(OFFSET(Input!$G$3,0,0,Total_Directors,1)="ID",1,0),IF(OFFSET(Input!$V$3,0,0,Total_Directors,1)&lt;&gt;"AGM",1,0))</f>
        <v>5</v>
      </c>
      <c r="D16" s="92">
        <f ca="1">C16/Output!$C$5</f>
        <v>0.55555555555555558</v>
      </c>
      <c r="E16" s="92">
        <f ca="1">C16/Output!$F$5</f>
        <v>1</v>
      </c>
    </row>
    <row r="17" spans="2:9">
      <c r="B17" s="87" t="s">
        <v>75</v>
      </c>
      <c r="C17" s="314">
        <f t="array" aca="1" ref="C17" ca="1">SUMPRODUCT(IF(OFFSET(Input!$G$3,0,0,Total_Directors,1)="ID",1,0),IF(OFFSET(Input!$E$3,0,0,Total_Directors,1)&gt;ID_Tenure_Threshold,1,0))</f>
        <v>3</v>
      </c>
      <c r="D17" s="89">
        <f ca="1">C17/Output!$C$5</f>
        <v>0.33333333333333331</v>
      </c>
      <c r="E17" s="89">
        <f ca="1">C17/Output!$F$5</f>
        <v>0.6</v>
      </c>
    </row>
    <row r="18" spans="2:9">
      <c r="B18" s="90" t="s">
        <v>86</v>
      </c>
      <c r="C18" s="91">
        <f t="array" aca="1" ref="C18" ca="1">SUMPRODUCT(IF(OFFSET(Input!$G$3,0,0,Total_Directors,1)="ID",1,0),IF(OFFSET(Input!$N$3,0,0,Total_Directors,1)="Y",1,0))</f>
        <v>0</v>
      </c>
      <c r="D18" s="92">
        <f ca="1">C18/Output!$C$5</f>
        <v>0</v>
      </c>
      <c r="E18" s="92">
        <f ca="1">C18/Output!$F$5</f>
        <v>0</v>
      </c>
    </row>
    <row r="19" spans="2:9" ht="12" customHeight="1">
      <c r="B19" s="90" t="s">
        <v>87</v>
      </c>
      <c r="C19" s="91">
        <f t="array" aca="1" ref="C19" ca="1">SUMPRODUCT(IF(OFFSET(Input!$G$3,0,0,Total_Directors,1)="ID",1,0),IF(OFFSET(Input!$O$3,0,0,Total_Directors,1)="Y",1,0))</f>
        <v>0</v>
      </c>
      <c r="D19" s="92">
        <f ca="1">C19/Output!$C$5</f>
        <v>0</v>
      </c>
      <c r="E19" s="92">
        <f ca="1">C19/Output!$F$5</f>
        <v>0</v>
      </c>
    </row>
    <row r="20" spans="2:9" ht="12" customHeight="1">
      <c r="B20" s="93" t="s">
        <v>88</v>
      </c>
      <c r="C20" s="94">
        <f t="array" aca="1" ref="C20" ca="1">SUMPRODUCT(IF(OFFSET(Calculations_Sheet!$G$53,0,0,Total_Directors,1)="ID",1,0),IF(OFFSET(Calculations_Sheet!$C$53,0,0,Total_Directors,1)&gt;Shareholding_Threshold,1,0))</f>
        <v>5</v>
      </c>
      <c r="D20" s="95">
        <f ca="1">C20/Output!$C$5</f>
        <v>0.55555555555555558</v>
      </c>
      <c r="E20" s="95">
        <f ca="1">C20/Output!$F$5</f>
        <v>1</v>
      </c>
    </row>
    <row r="21" spans="2:9">
      <c r="I21" s="84"/>
    </row>
    <row r="22" spans="2:9">
      <c r="B22" s="57" t="s">
        <v>71</v>
      </c>
      <c r="C22" s="85" t="s">
        <v>61</v>
      </c>
      <c r="D22" s="85" t="s">
        <v>62</v>
      </c>
    </row>
    <row r="23" spans="2:9">
      <c r="B23" s="87" t="s">
        <v>74</v>
      </c>
      <c r="C23" s="88">
        <f t="array" aca="1" ref="C23" ca="1">SUMPRODUCT((IF(OFFSET(Input!$G$3,0,0,Total_Directors,1)="ED",1,0)+IF(OFFSET(Input!$G$3,0,0,Total_Directors,1)="EDP",1,0)),IF(OFFSET(Input!$Q$3,0,0,Total_Directors,1)&gt;Calculations_Sheet!$C$8,1,0))</f>
        <v>0</v>
      </c>
      <c r="D23" s="89">
        <f ca="1">C23/Output!$C$5</f>
        <v>0</v>
      </c>
    </row>
    <row r="24" spans="2:9">
      <c r="B24" s="90" t="s">
        <v>76</v>
      </c>
      <c r="C24" s="91">
        <f t="array" aca="1" ref="C24" ca="1">SUMPRODUCT((IF(OFFSET(Input!$G$3,0,0,Total_Directors,1)="ED",1,0)+IF(OFFSET(Input!$G$3,0,0,Total_Directors,1)="EDP",1,0)),IF(OFFSET(Input!$R$3,0,0,Total_Directors,1)&gt;Calculations_Sheet!$C$9,1,0))</f>
        <v>0</v>
      </c>
      <c r="D24" s="92">
        <f ca="1">C24/Output!$C$5</f>
        <v>0</v>
      </c>
    </row>
    <row r="25" spans="2:9" ht="12" customHeight="1">
      <c r="B25" s="90" t="s">
        <v>77</v>
      </c>
      <c r="C25" s="91">
        <f t="array" aca="1" ref="C25" ca="1">SUMPRODUCT((IF(OFFSET(Input!$G$3,0,0,Total_Directors,1)="ED",1,0)+IF(OFFSET(Input!$G$3,0,0,Total_Directors,1)="EDP",1,0)),IF(OFFSET(Input!$S$3,0,0,Total_Directors,1)&gt;Calculations_Sheet!$C$10,1,0))</f>
        <v>0</v>
      </c>
      <c r="D25" s="92">
        <f ca="1">C25/Output!$C$5</f>
        <v>0</v>
      </c>
    </row>
    <row r="26" spans="2:9" ht="12" customHeight="1">
      <c r="B26" s="90" t="s">
        <v>140</v>
      </c>
      <c r="C26" s="91">
        <f t="array" aca="1" ref="C26" ca="1">SUMPRODUCT((IF(OFFSET(Input!$G$3,0,0,Total_Directors,1)="ED",1,0)+IF(OFFSET(Input!$G$3,0,0,Total_Directors,1)="EDP",1,0)),IF(OFFSET(Input!$Z$3,0,0,Total_Directors,1)="Y",1,0))</f>
        <v>0</v>
      </c>
      <c r="D26" s="92">
        <f ca="1">C26/Output!$C$5</f>
        <v>0</v>
      </c>
    </row>
    <row r="27" spans="2:9" ht="12" customHeight="1">
      <c r="B27" s="93" t="s">
        <v>142</v>
      </c>
      <c r="C27" s="311">
        <f t="array" aca="1" ref="C27" ca="1">SUMPRODUCT((IF(OFFSET(Input!$G$3,0,0,Total_Directors,1)="ED",1,0)+IF(OFFSET(Input!$G$3,0,0,Total_Directors,1)="EDP",1,0)),IF(OFFSET(Input!$V$3,0,0,Total_Directors,1)&lt;&gt;"AGM",1,0))</f>
        <v>2</v>
      </c>
      <c r="D27" s="92">
        <f ca="1">C27/Output!$C$5</f>
        <v>0.22222222222222221</v>
      </c>
    </row>
    <row r="28" spans="2:9" ht="12" customHeight="1">
      <c r="B28" s="87" t="s">
        <v>141</v>
      </c>
      <c r="C28" s="88">
        <f t="array" aca="1" ref="C28" ca="1">SUMPRODUCT((IF(OFFSET(Input!$G$3,0,0,Total_Directors,1)="ED",1,0)+IF(OFFSET(Input!$G$3,0,0,Total_Directors,1)="EDP",1,0)),IF(OFFSET(Input!$AA$3,0,0,Total_Directors,1)="Y",1,0))</f>
        <v>0</v>
      </c>
      <c r="D28" s="89">
        <f ca="1">C28/Output!$C$5</f>
        <v>0</v>
      </c>
    </row>
    <row r="29" spans="2:9" ht="12" customHeight="1">
      <c r="B29" s="93" t="s">
        <v>139</v>
      </c>
      <c r="C29" s="94">
        <f t="array" aca="1" ref="C29" ca="1">SUMPRODUCT((IF(OFFSET(Input!$G$3,0,0,Total_Directors,1)="ED",1,0)+IF(OFFSET(Input!$G$3,0,0,Total_Directors,1)="EDP",1,0)),IF(OFFSET(Input!$W$3,0,0,Total_Directors,1)="Y",1,0))</f>
        <v>0</v>
      </c>
      <c r="D29" s="95">
        <f ca="1">C29/Output!$C$5</f>
        <v>0</v>
      </c>
    </row>
    <row r="31" spans="2:9">
      <c r="B31" s="57" t="s">
        <v>72</v>
      </c>
      <c r="C31" s="85" t="s">
        <v>61</v>
      </c>
      <c r="D31" s="85" t="s">
        <v>62</v>
      </c>
    </row>
    <row r="32" spans="2:9">
      <c r="B32" s="87" t="s">
        <v>74</v>
      </c>
      <c r="C32" s="88">
        <f t="array" aca="1" ref="C32" ca="1">SUMPRODUCT((IF(OFFSET(Input!$G$3,0,0,Total_Directors,1)="NED",1,0)+IF(OFFSET(Input!$G$3,0,0,Total_Directors,1)="NEDP",1,0)),IF(OFFSET(Input!$Q$3,0,0,Total_Directors,1)&gt;Calculations_Sheet!$B$8,1,0))</f>
        <v>2</v>
      </c>
      <c r="D32" s="89">
        <f ca="1">C32/Output!$C$5</f>
        <v>0.22222222222222221</v>
      </c>
    </row>
    <row r="33" spans="2:4">
      <c r="B33" s="90" t="s">
        <v>76</v>
      </c>
      <c r="C33" s="91">
        <f t="array" aca="1" ref="C33" ca="1">SUMPRODUCT((IF(OFFSET(Input!$G$3,0,0,Total_Directors,1)="NED",1,0)+IF(OFFSET(Input!$G$3,0,0,Total_Directors,1)="NEDP",1,0)),IF(OFFSET(Input!$R$3,0,0,Total_Directors,1)&gt;Calculations_Sheet!$B$9,1,0))</f>
        <v>0</v>
      </c>
      <c r="D33" s="92">
        <f ca="1">C33/Output!$C$5</f>
        <v>0</v>
      </c>
    </row>
    <row r="34" spans="2:4" ht="12" customHeight="1">
      <c r="B34" s="90" t="s">
        <v>77</v>
      </c>
      <c r="C34" s="91">
        <f t="array" aca="1" ref="C34" ca="1">SUMPRODUCT((IF(OFFSET(Input!$G$3,0,0,Total_Directors,1)="NED",1,0)+IF(OFFSET(Input!$G$3,0,0,Total_Directors,1)="NEDP",1,0)),IF(OFFSET(Input!$S$3,0,0,Total_Directors,1)&gt;Calculations_Sheet!$B$10,1,0))</f>
        <v>0</v>
      </c>
      <c r="D34" s="92">
        <f ca="1">C34/Output!$C$5</f>
        <v>0</v>
      </c>
    </row>
    <row r="35" spans="2:4" ht="12" customHeight="1">
      <c r="B35" s="90" t="s">
        <v>140</v>
      </c>
      <c r="C35" s="91">
        <f t="array" aca="1" ref="C35" ca="1">SUMPRODUCT((IF(OFFSET(Input!$G$3,0,0,Total_Directors,1)="NED",1,0)+IF(OFFSET(Input!$G$3,0,0,Total_Directors,1)="NEDP",1,0)),IF(OFFSET(Input!$Z$3,0,0,Total_Directors,1)="Y",1,0))</f>
        <v>0</v>
      </c>
      <c r="D35" s="92">
        <f ca="1">C35/Output!$C$5</f>
        <v>0</v>
      </c>
    </row>
    <row r="36" spans="2:4" ht="12" customHeight="1">
      <c r="B36" s="93" t="s">
        <v>142</v>
      </c>
      <c r="C36" s="311">
        <f t="array" aca="1" ref="C36" ca="1">SUMPRODUCT((IF(OFFSET(Input!$G$3,0,0,Total_Directors,1)="NED",1,0)+IF(OFFSET(Input!$G$3,0,0,Total_Directors,1)="NEDP",1,0)),IF(OFFSET(Input!$V$3,0,0,Total_Directors,1)&lt;&gt;"AGM",1,0))</f>
        <v>2</v>
      </c>
      <c r="D36" s="92">
        <f ca="1">C36/Output!$C$5</f>
        <v>0.22222222222222221</v>
      </c>
    </row>
    <row r="37" spans="2:4" ht="12" customHeight="1">
      <c r="B37" s="87" t="s">
        <v>141</v>
      </c>
      <c r="C37" s="88">
        <f t="array" aca="1" ref="C37" ca="1">SUMPRODUCT((IF(OFFSET(Input!$G$3,0,0,Total_Directors,1)="NED",1,0)+IF(OFFSET(Input!$G$3,0,0,Total_Directors,1)="NEDP",1,0)),IF(OFFSET(Input!$AA$3,0,0,Total_Directors,1)="Y",1,0))</f>
        <v>0</v>
      </c>
      <c r="D37" s="89">
        <f ca="1">C37/Output!$C$5</f>
        <v>0</v>
      </c>
    </row>
    <row r="38" spans="2:4" ht="12" customHeight="1">
      <c r="B38" s="93" t="s">
        <v>139</v>
      </c>
      <c r="C38" s="94">
        <f t="array" aca="1" ref="C38" ca="1">SUMPRODUCT((IF(OFFSET(Input!$G$3,0,0,Total_Directors,1)="NED",1,0)+IF(OFFSET(Input!$G$3,0,0,Total_Directors,1)="NEDP",1,0)),IF(OFFSET(Input!$W$3,0,0,Total_Directors,1)="Y",1,0))</f>
        <v>0</v>
      </c>
      <c r="D38" s="95">
        <f ca="1">C38/Output!$C$5</f>
        <v>0</v>
      </c>
    </row>
    <row r="40" spans="2:4">
      <c r="B40" s="57" t="s">
        <v>109</v>
      </c>
      <c r="C40" s="32" t="str">
        <f>Calculations_Sheet!B97</f>
        <v>5Y Increase Multiple</v>
      </c>
      <c r="D40" s="32" t="str">
        <f>Calculations_Sheet!C97</f>
        <v>5Y CAGR</v>
      </c>
    </row>
    <row r="41" spans="2:4">
      <c r="B41" s="41" t="str">
        <f>Calculations_Sheet!A98</f>
        <v>5Y MD Remuneration</v>
      </c>
      <c r="C41" s="47">
        <f>Calculations_Sheet!B98</f>
        <v>0</v>
      </c>
      <c r="D41" s="46">
        <f>C41^0.2-1</f>
        <v>-1</v>
      </c>
    </row>
    <row r="42" spans="2:4">
      <c r="B42" s="41" t="str">
        <f>Calculations_Sheet!A99</f>
        <v>5Y Promoter Chairman Remuneration</v>
      </c>
      <c r="C42" s="47">
        <f>Calculations_Sheet!B99</f>
        <v>1.3499999999999999</v>
      </c>
      <c r="D42" s="46">
        <f>C42^0.2-1</f>
        <v>6.185875879493441E-2</v>
      </c>
    </row>
    <row r="43" spans="2:4">
      <c r="B43" s="41" t="str">
        <f>Calculations_Sheet!A100</f>
        <v>5Y Average Promoter Remuneration</v>
      </c>
      <c r="C43" s="47">
        <f ca="1">Calculations_Sheet!B100</f>
        <v>1.1249999999999998</v>
      </c>
      <c r="D43" s="46">
        <f ca="1">C43^0.2-1</f>
        <v>2.3836255539609663E-2</v>
      </c>
    </row>
    <row r="44" spans="2:4">
      <c r="B44" s="48"/>
      <c r="C44" s="49"/>
      <c r="D44" s="50"/>
    </row>
    <row r="45" spans="2:4">
      <c r="B45" s="57" t="s">
        <v>110</v>
      </c>
      <c r="C45" s="31" t="s">
        <v>95</v>
      </c>
      <c r="D45" s="31" t="s">
        <v>98</v>
      </c>
    </row>
    <row r="46" spans="2:4">
      <c r="B46" s="42" t="s">
        <v>96</v>
      </c>
      <c r="C46" s="53">
        <f t="array" ref="C46">MAX(IF(RIGHT(Director_Classification)="P",1*(Input!$C$24:$C$43+Input!$D$24:$D$43),0)*IF(Input!D3:D22="",1,0))</f>
        <v>1.35E-2</v>
      </c>
      <c r="D46" s="18" t="str">
        <f t="array" aca="1" ref="D46" ca="1">OFFSET(Input!$B$24,MATCH(C46,(Input!$C$24:$C$38+Input!D$24:D38),0)-1,0)</f>
        <v>Keki M.Mistry</v>
      </c>
    </row>
    <row r="47" spans="2:4">
      <c r="B47" s="42" t="s">
        <v>97</v>
      </c>
      <c r="C47" s="53">
        <f t="array" ref="C47">MIN(IF(RIGHT(Director_Classification)="P",1*(Input!$C$24:$C$43+Input!$D$24:$D$43),99999)*IF(Input!D3:D22="",1,99999))</f>
        <v>4.4999999999999997E-3</v>
      </c>
      <c r="D47" s="18" t="str">
        <f t="array" aca="1" ref="D47" ca="1">OFFSET(Input!$B$24,MATCH(C47,(Input!$C$24:$C$38+Input!D$24:D39),0)-1,0)</f>
        <v>Renu Sud Karnad</v>
      </c>
    </row>
    <row r="48" spans="2:4">
      <c r="B48" s="42" t="s">
        <v>107</v>
      </c>
      <c r="C48" s="53">
        <f t="array" ref="C48">MAX(IF(Director_Classification="ED",1*(Input!$C$24:$C$43+Input!$D$24:$D$43),0)*IF(Input!$D$3:$D$22="",1,0))</f>
        <v>2.15</v>
      </c>
      <c r="D48" s="108"/>
    </row>
    <row r="49" spans="2:5">
      <c r="B49" s="42" t="s">
        <v>104</v>
      </c>
      <c r="C49" s="53">
        <f t="array" ref="C49">MAX(IF(Director_Classification="EDP",1*(Input!$C$24:$C$43+Input!$D$24:$D$43),0)*IF(Input!$D$3:$D$22="",1,0))</f>
        <v>0</v>
      </c>
      <c r="D49" s="18" t="str">
        <f t="array" aca="1" ref="D49" ca="1">OFFSET(Input!$B$24,MATCH(C49,(Input!$C$24:$C$43+Input!D$24:D43),0)-1,0)</f>
        <v/>
      </c>
    </row>
    <row r="50" spans="2:5">
      <c r="B50" s="42" t="s">
        <v>106</v>
      </c>
      <c r="C50" s="53">
        <f t="array" ref="C50">MAX(IF(Director_Classification="NED",1*(Input!$C$24:$C$43+Input!$D$24:$D$43),0)*IF(Input!$D$3:$D$22="",1,0))</f>
        <v>0</v>
      </c>
      <c r="D50" s="108"/>
    </row>
    <row r="51" spans="2:5">
      <c r="B51" s="42" t="s">
        <v>105</v>
      </c>
      <c r="C51" s="53">
        <f t="array" ref="C51">MAX(IF(Director_Classification="NEDP",1*(Input!$C$24:$C$43+Input!$D$24:$D$43),0)*IF(Input!D3:D22="",1,0))</f>
        <v>1.35E-2</v>
      </c>
      <c r="D51" s="18" t="str">
        <f t="array" aca="1" ref="D51" ca="1">OFFSET(Input!$B$24,MATCH(C51,(Input!$C$24:$C$38+Input!D$24:D49),0)-1,0)</f>
        <v>Keki M.Mistry</v>
      </c>
    </row>
    <row r="52" spans="2:5">
      <c r="B52" s="52"/>
      <c r="C52" s="54"/>
      <c r="D52" s="51"/>
    </row>
    <row r="53" spans="2:5">
      <c r="B53" s="57" t="s">
        <v>111</v>
      </c>
      <c r="C53" s="31" t="s">
        <v>95</v>
      </c>
      <c r="D53" s="31" t="s">
        <v>989</v>
      </c>
    </row>
    <row r="54" spans="2:5">
      <c r="B54" s="42" t="str">
        <f>Calculations_Sheet!A104</f>
        <v>Current Year Average Promoter ED Remuneration</v>
      </c>
      <c r="C54" s="28">
        <f ca="1">IF(ISNUMBER(Calculations_Sheet!B104),Calculations_Sheet!B104,0)</f>
        <v>0</v>
      </c>
      <c r="D54" s="28">
        <f>SUMPRODUCT((Input!$D$3:$D$22="")*1,(Director_Classification="EDP")*1)</f>
        <v>0</v>
      </c>
    </row>
    <row r="55" spans="2:5">
      <c r="B55" s="42" t="str">
        <f>Calculations_Sheet!A105</f>
        <v>Current Year Average other ED Remuneration</v>
      </c>
      <c r="C55" s="28">
        <f ca="1">IF(ISNUMBER(Calculations_Sheet!B105),Calculations_Sheet!B105,0)</f>
        <v>1.4350000000000001</v>
      </c>
      <c r="D55" s="28">
        <f>SUMPRODUCT((Input!$D$3:$D$22="")*1,(Director_Classification="ED")*1)</f>
        <v>2</v>
      </c>
    </row>
    <row r="56" spans="2:5">
      <c r="B56" s="42" t="str">
        <f>Calculations_Sheet!A106</f>
        <v>Current Year Average Promoter NED Remuneration</v>
      </c>
      <c r="C56" s="28">
        <f ca="1">IF(ISNUMBER(Calculations_Sheet!B106),Calculations_Sheet!B106,0)</f>
        <v>8.9999999999999993E-3</v>
      </c>
      <c r="D56" s="28">
        <f>SUMPRODUCT((Input!$D$3:$D$22="")*1,(Director_Classification="NEDP")*1)</f>
        <v>2</v>
      </c>
    </row>
    <row r="57" spans="2:5">
      <c r="B57" s="42" t="str">
        <f>Calculations_Sheet!A107</f>
        <v>Current Year Average other NED Remuneration</v>
      </c>
      <c r="C57" s="28">
        <f ca="1">IF(ISNUMBER(Calculations_Sheet!B107),Calculations_Sheet!B107,0)</f>
        <v>0</v>
      </c>
      <c r="D57" s="28">
        <f>SUMPRODUCT((Input!$D$3:$D$22="")*1,(Director_Classification="NED")*1)</f>
        <v>0</v>
      </c>
    </row>
    <row r="58" spans="2:5">
      <c r="B58" s="42" t="str">
        <f>Calculations_Sheet!A108</f>
        <v>Current Year Average ID Remuneration</v>
      </c>
      <c r="C58" s="28">
        <f ca="1">IF(ISNUMBER(Calculations_Sheet!B108),Calculations_Sheet!B108,0)</f>
        <v>1.26E-2</v>
      </c>
      <c r="D58" s="28">
        <f>SUMPRODUCT((Input!$D$3:$D$22="")*1,(Director_Classification="ID")*1)</f>
        <v>5</v>
      </c>
    </row>
    <row r="60" spans="2:5">
      <c r="B60" s="57" t="s">
        <v>117</v>
      </c>
      <c r="C60" s="31" t="s">
        <v>211</v>
      </c>
      <c r="D60" s="31" t="s">
        <v>826</v>
      </c>
      <c r="E60" s="31" t="s">
        <v>68</v>
      </c>
    </row>
    <row r="61" spans="2:5">
      <c r="B61" s="82" t="str">
        <f>Template_P2!K27</f>
        <v>S.M Palia</v>
      </c>
      <c r="C61" s="18">
        <f t="array" ref="C61">VLOOKUP($B61,Input!$B$3:$U$22,MATCH(C$60,Input!$B$2:$U$2,0),0)</f>
        <v>21</v>
      </c>
      <c r="D61" s="18">
        <f>VLOOKUP($B61,Input!$B$2:$U$22,MATCH(D$60,Input!$B$2:$U$2,0),0)</f>
        <v>21</v>
      </c>
      <c r="E61" s="18" t="str">
        <f>VLOOKUP($B61,Calculations_Sheet!$A$53:$H$67,8,0)</f>
        <v>NED</v>
      </c>
    </row>
    <row r="62" spans="2:5">
      <c r="B62" s="82" t="str">
        <f>Template_P2!K28</f>
        <v>Renu Sud Karnad</v>
      </c>
      <c r="C62" s="18">
        <f t="array" ref="C62">VLOOKUP($B62,Input!$B$3:$U$22,MATCH(C$60,Input!$B$2:$U$2,0),0)</f>
        <v>14</v>
      </c>
      <c r="D62" s="18">
        <f t="array" ref="D62">VLOOKUP($B62,Input!$B$2:$U$22,MATCH(D$60,Input!$B$2:$U$2,0),0)</f>
        <v>36</v>
      </c>
      <c r="E62" s="18" t="str">
        <f>VLOOKUP($B62,Calculations_Sheet!$A$53:$H$67,8,0)</f>
        <v>NEDP</v>
      </c>
    </row>
    <row r="63" spans="2:5">
      <c r="B63" s="82" t="str">
        <f>Template_P2!K29</f>
        <v>S.G Mankad</v>
      </c>
      <c r="C63" s="313">
        <f t="array" ref="C63">VLOOKUP($B63,Input!$B$2:$U$22,MATCH(C$60,Input!$B$2:$U$2,0),0)</f>
        <v>4</v>
      </c>
      <c r="D63" s="18">
        <f t="array" ref="D63">VLOOKUP($B63,Input!$B$2:$U$22,MATCH(D$60,Input!$B$2:$U$2,0),0)</f>
        <v>4</v>
      </c>
      <c r="E63" s="18" t="str">
        <f>VLOOKUP($B63,Calculations_Sheet!$A$53:$H$67,8,0)</f>
        <v>ID</v>
      </c>
    </row>
    <row r="64" spans="2:5">
      <c r="B64" s="82" t="str">
        <f>Template_P2!K30</f>
        <v>Rohit C. Mehta</v>
      </c>
      <c r="C64" s="313">
        <f t="array" ref="C64">VLOOKUP($B64,Input!$B$2:$U$22,MATCH(C$60,Input!$B$2:$U$2,0),0)</f>
        <v>27</v>
      </c>
      <c r="D64" s="18">
        <f t="array" ref="D64">VLOOKUP($B64,Input!$B$2:$U$22,MATCH(D$60,Input!$B$2:$U$2,0),0)</f>
        <v>27</v>
      </c>
      <c r="E64" s="18" t="str">
        <f>VLOOKUP($B64,Calculations_Sheet!$A$53:$H$67,8,0)</f>
        <v>NED</v>
      </c>
    </row>
    <row r="65" spans="2:10">
      <c r="B65" s="82">
        <f>Template_P2!K31</f>
        <v>0</v>
      </c>
      <c r="C65" s="18" t="e">
        <f t="array" ref="C65">VLOOKUP($B65,Input!$B$2:$U$22,MATCH(C$60,Input!$B$2:$U$2,0),0)</f>
        <v>#N/A</v>
      </c>
      <c r="D65" s="18" t="e">
        <f t="array" ref="D65">VLOOKUP($B65,Input!$B$2:$U$22,MATCH(D$60,Input!$B$2:$U$2,0),0)</f>
        <v>#N/A</v>
      </c>
      <c r="E65" s="18" t="e">
        <f>VLOOKUP($B65,Calculations_Sheet!$A$53:$H$67,8,0)</f>
        <v>#N/A</v>
      </c>
    </row>
    <row r="66" spans="2:10">
      <c r="B66" s="82">
        <f>Template_P2!K32</f>
        <v>0</v>
      </c>
      <c r="C66" s="18" t="e">
        <f t="array" ref="C66">VLOOKUP($B66,Input!$B$2:$U$22,MATCH(C$60,Input!$B$2:$U$2,0),0)</f>
        <v>#N/A</v>
      </c>
      <c r="D66" s="18" t="e">
        <f t="array" ref="D66">VLOOKUP($B66,Input!$B$2:$U$22,MATCH(D$60,Input!$B$2:$U$2,0),0)</f>
        <v>#N/A</v>
      </c>
      <c r="E66" s="18" t="e">
        <f>VLOOKUP($B66,Calculations_Sheet!$A$53:$H$67,8,0)</f>
        <v>#N/A</v>
      </c>
    </row>
    <row r="67" spans="2:10">
      <c r="B67" s="82">
        <f>Template_P2!K33</f>
        <v>0</v>
      </c>
      <c r="C67" s="18" t="e">
        <f t="array" ref="C67">VLOOKUP($B67,Input!$B$2:$U$22,MATCH(C$60,Input!$B$2:$U$2,0),0)</f>
        <v>#N/A</v>
      </c>
      <c r="D67" s="18" t="e">
        <f t="array" ref="D67">VLOOKUP($B67,Input!$B$2:$U$22,MATCH(D$60,Input!$B$2:$U$2,0),0)</f>
        <v>#N/A</v>
      </c>
      <c r="E67" s="18" t="e">
        <f>VLOOKUP($B67,Calculations_Sheet!$A$53:$H$67,8,0)</f>
        <v>#N/A</v>
      </c>
    </row>
    <row r="68" spans="2:10">
      <c r="B68" s="82">
        <f>Template_P2!K34</f>
        <v>0</v>
      </c>
      <c r="C68" s="18" t="e">
        <f t="array" ref="C68">VLOOKUP($B68,Input!$B$2:$U$22,MATCH(C$60,Input!$B$2:$U$2,0),0)</f>
        <v>#N/A</v>
      </c>
      <c r="D68" s="18" t="e">
        <f t="array" ref="D68">VLOOKUP($B68,Input!$B$2:$U$22,MATCH(D$60,Input!$B$2:$U$2,0),0)</f>
        <v>#N/A</v>
      </c>
      <c r="E68" s="18" t="e">
        <f>VLOOKUP($B68,Calculations_Sheet!$A$53:$H$67,8,0)</f>
        <v>#N/A</v>
      </c>
    </row>
    <row r="69" spans="2:10">
      <c r="B69" s="82">
        <f>Template_P2!K35</f>
        <v>0</v>
      </c>
      <c r="C69" s="18" t="e">
        <f t="array" ref="C69">VLOOKUP($B69,Input!$B$2:$U$22,MATCH(C$60,Input!$B$2:$U$2,0),0)</f>
        <v>#N/A</v>
      </c>
      <c r="D69" s="18" t="e">
        <f t="array" ref="D69">VLOOKUP($B69,Input!$B$2:$U$22,MATCH(D$60,Input!$B$2:$U$2,0),0)</f>
        <v>#N/A</v>
      </c>
      <c r="E69" s="18" t="e">
        <f>VLOOKUP($B69,Calculations_Sheet!$A$53:$H$67,8,0)</f>
        <v>#N/A</v>
      </c>
    </row>
    <row r="71" spans="2:10">
      <c r="B71" s="57" t="s">
        <v>118</v>
      </c>
      <c r="C71" s="31" t="s">
        <v>211</v>
      </c>
      <c r="D71" s="31" t="s">
        <v>1</v>
      </c>
      <c r="E71" s="31" t="s">
        <v>69</v>
      </c>
      <c r="F71" s="31" t="s">
        <v>1264</v>
      </c>
      <c r="G71" s="31" t="s">
        <v>5</v>
      </c>
      <c r="H71" s="31" t="s">
        <v>6</v>
      </c>
      <c r="I71" s="31" t="s">
        <v>7</v>
      </c>
      <c r="J71" s="31" t="s">
        <v>19</v>
      </c>
    </row>
    <row r="72" spans="2:10">
      <c r="B72" s="82" t="str">
        <f>B61</f>
        <v>S.M Palia</v>
      </c>
      <c r="C72" s="28">
        <f>VLOOKUP($B61,Input!$B$2:$U$22,MATCH(C$71,Input!$B$2:$U$2,0),0)</f>
        <v>21</v>
      </c>
      <c r="D72" s="18">
        <f>VLOOKUP($B61,Input!$B$2:$U$22,MATCH(D$71,Input!$B$2:$U$2,0),0)</f>
        <v>110150</v>
      </c>
      <c r="E72" s="18" t="str">
        <f t="array" ref="E72">VLOOKUP($B61,Input!$B$2:$U$22,MATCH(E$71,Input!$B$2:$U$2,0),0)</f>
        <v>N</v>
      </c>
      <c r="F72" s="18">
        <f t="array" ref="F72">VLOOKUP($B61,Input!$B$2:$U$22,MATCH(F$71,Input!$B$2:$U$2,0),0)</f>
        <v>4</v>
      </c>
      <c r="G72" s="18">
        <f t="array" ref="G72">VLOOKUP($B61,Input!$B$2:$U$22,MATCH(G$71,Input!$B$2:$U$2,0),0)</f>
        <v>2</v>
      </c>
      <c r="H72" s="18">
        <f t="array" ref="H72">VLOOKUP($B61,Input!$B$2:$U$22,MATCH(H$71,Input!$B$2:$U$2,0),0)</f>
        <v>1</v>
      </c>
      <c r="I72" s="18" t="str">
        <f t="array" ref="I72">VLOOKUP($B61,Input!$B$2:$U$22,MATCH(I$71,Input!$B$2:$U$2,0),0)</f>
        <v>FI</v>
      </c>
      <c r="J72" s="18" t="str">
        <f t="array" ref="J72">VLOOKUP($B61,Input!$B$2:$U$22,MATCH(J$71,Input!$B$2:$U$2,0),0)</f>
        <v>B.Com, LLB, CAIIB, CAIB</v>
      </c>
    </row>
    <row r="73" spans="2:10">
      <c r="B73" s="82" t="str">
        <f>B62</f>
        <v>Renu Sud Karnad</v>
      </c>
      <c r="C73" s="28">
        <f t="array" ref="C73">VLOOKUP($B62,Input!$B$2:$U$22,MATCH(C$71,Input!$B$2:$U$2,0),0)</f>
        <v>14</v>
      </c>
      <c r="D73" s="18">
        <f t="array" ref="D73">VLOOKUP($B62,Input!$B$2:$U$22,MATCH(D$71,Input!$B$2:$U$2,0),0)</f>
        <v>196115</v>
      </c>
      <c r="E73" s="18" t="str">
        <f t="array" ref="E73">VLOOKUP($B62,Input!$B$2:$U$22,MATCH(E$71,Input!$B$2:$U$2,0),0)</f>
        <v>N</v>
      </c>
      <c r="F73" s="18">
        <f t="array" ref="F73">VLOOKUP($B62,Input!$B$2:$U$22,MATCH(F$71,Input!$B$2:$U$2,0),0)</f>
        <v>13</v>
      </c>
      <c r="G73" s="18">
        <f t="array" ref="G73">VLOOKUP($B62,Input!$B$2:$U$22,MATCH(G$71,Input!$B$2:$U$2,0),0)</f>
        <v>5</v>
      </c>
      <c r="H73" s="18">
        <f t="array" ref="H73">VLOOKUP($B62,Input!$B$2:$U$22,MATCH(H$71,Input!$B$2:$U$2,0),0)</f>
        <v>3</v>
      </c>
      <c r="I73" s="18" t="str">
        <f t="array" ref="I73">VLOOKUP($B62,Input!$B$2:$U$22,MATCH(I$71,Input!$B$2:$U$2,0),0)</f>
        <v>Finance</v>
      </c>
      <c r="J73" s="18" t="str">
        <f t="array" ref="J73">VLOOKUP($B62,Input!$B$2:$U$22,MATCH(J$71,Input!$B$2:$U$2,0),0)</f>
        <v>MA (Economics), LLB</v>
      </c>
    </row>
    <row r="74" spans="2:10">
      <c r="B74" s="82" t="str">
        <f>B63</f>
        <v>S.G Mankad</v>
      </c>
      <c r="C74" s="28">
        <f t="array" ref="C74">VLOOKUP($B63,Input!$B$2:$U$22,MATCH(C$71,Input!$B$2:$U$2,0),0)</f>
        <v>4</v>
      </c>
      <c r="D74" s="18">
        <f t="array" ref="D74">VLOOKUP($B63,Input!$B$2:$U$22,MATCH(D$71,Input!$B$2:$U$2,0),0)</f>
        <v>65000</v>
      </c>
      <c r="E74" s="18" t="str">
        <f t="array" ref="E74">VLOOKUP($B63,Input!$B$2:$U$22,MATCH(E$71,Input!$B$2:$U$2,0),0)</f>
        <v>N</v>
      </c>
      <c r="F74" s="18">
        <f t="array" ref="F74">VLOOKUP($B63,Input!$B$2:$U$22,MATCH(F$71,Input!$B$2:$U$2,0),0)</f>
        <v>11</v>
      </c>
      <c r="G74" s="18">
        <f t="array" ref="G74">VLOOKUP($B63,Input!$B$2:$U$22,MATCH(G$71,Input!$B$2:$U$2,0),0)</f>
        <v>5</v>
      </c>
      <c r="H74" s="18">
        <f t="array" ref="H74">VLOOKUP($B63,Input!$B$2:$U$22,MATCH(H$71,Input!$B$2:$U$2,0),0)</f>
        <v>1</v>
      </c>
      <c r="I74" s="18" t="str">
        <f t="array" ref="I74">VLOOKUP($B63,Input!$B$2:$U$22,MATCH(I$71,Input!$B$2:$U$2,0),0)</f>
        <v>AD</v>
      </c>
      <c r="J74" s="18" t="str">
        <f t="array" ref="J74">VLOOKUP($B63,Input!$B$2:$U$22,MATCH(J$71,Input!$B$2:$U$2,0),0)</f>
        <v>MA (History)</v>
      </c>
    </row>
    <row r="75" spans="2:10">
      <c r="B75" s="82" t="str">
        <f>B64</f>
        <v>Rohit C. Mehta</v>
      </c>
      <c r="C75" s="28">
        <f t="array" ref="C75">VLOOKUP($B64,Input!$B$2:$U$22,MATCH(C$71,Input!$B$2:$U$2,0),0)</f>
        <v>27</v>
      </c>
      <c r="D75" s="18">
        <f t="array" ref="D75">VLOOKUP($B64,Input!$B$2:$U$22,MATCH(D$71,Input!$B$2:$U$2,0),0)</f>
        <v>165000000</v>
      </c>
      <c r="E75" s="18" t="str">
        <f t="array" ref="E75">VLOOKUP($B64,Input!$B$2:$U$22,MATCH(E$71,Input!$B$2:$U$2,0),0)</f>
        <v>N</v>
      </c>
      <c r="F75" s="18">
        <f t="array" ref="F75">VLOOKUP($B64,Input!$B$2:$U$22,MATCH(F$71,Input!$B$2:$U$2,0),0)</f>
        <v>3</v>
      </c>
      <c r="G75" s="18">
        <f t="array" ref="G75">VLOOKUP($B64,Input!$B$2:$U$22,MATCH(G$71,Input!$B$2:$U$2,0),0)</f>
        <v>4</v>
      </c>
      <c r="H75" s="18">
        <f t="array" ref="H75">VLOOKUP($B64,Input!$B$2:$U$22,MATCH(H$71,Input!$B$2:$U$2,0),0)</f>
        <v>2</v>
      </c>
      <c r="I75" s="18" t="str">
        <f t="array" ref="I75">VLOOKUP($B64,Input!$B$2:$U$22,MATCH(I$71,Input!$B$2:$U$2,0),0)</f>
        <v>IN</v>
      </c>
      <c r="J75" s="18" t="str">
        <f t="array" ref="J75">VLOOKUP($B64,Input!$B$2:$U$22,MATCH(J$71,Input!$B$2:$U$2,0),0)</f>
        <v>LLB</v>
      </c>
    </row>
    <row r="76" spans="2:10">
      <c r="B76" s="82">
        <f>B65</f>
        <v>0</v>
      </c>
      <c r="C76" s="28" t="e">
        <f t="array" ref="C76">VLOOKUP($B65,Input!$B$2:$U$22,MATCH(C$71,Input!$B$2:$U$2,0),0)</f>
        <v>#N/A</v>
      </c>
      <c r="D76" s="18" t="e">
        <f t="array" ref="D76">VLOOKUP($B65,Input!$B$2:$U$22,MATCH(D$71,Input!$B$2:$U$2,0),0)</f>
        <v>#N/A</v>
      </c>
      <c r="E76" s="18" t="e">
        <f t="array" ref="E76">VLOOKUP($B65,Input!$B$2:$U$22,MATCH(E$71,Input!$B$2:$U$2,0),0)</f>
        <v>#N/A</v>
      </c>
      <c r="F76" s="18" t="e">
        <f t="array" ref="F76">VLOOKUP($B65,Input!$B$2:$U$22,MATCH(F$71,Input!$B$2:$U$2,0),0)</f>
        <v>#N/A</v>
      </c>
      <c r="G76" s="18" t="e">
        <f t="array" ref="G76">VLOOKUP($B65,Input!$B$2:$U$22,MATCH(G$71,Input!$B$2:$U$2,0),0)</f>
        <v>#N/A</v>
      </c>
      <c r="H76" s="18" t="e">
        <f t="array" ref="H76">VLOOKUP($B65,Input!$B$2:$U$22,MATCH(H$71,Input!$B$2:$U$2,0),0)</f>
        <v>#N/A</v>
      </c>
      <c r="I76" s="18" t="e">
        <f t="array" ref="I76">VLOOKUP($B65,Input!$B$2:$U$22,MATCH(I$71,Input!$B$2:$U$2,0),0)</f>
        <v>#N/A</v>
      </c>
      <c r="J76" s="18" t="e">
        <f t="array" ref="J76">VLOOKUP($B65,Input!$B$2:$U$22,MATCH(J$71,Input!$B$2:$U$2,0),0)</f>
        <v>#N/A</v>
      </c>
    </row>
    <row r="77" spans="2:10">
      <c r="B77" s="82">
        <f t="shared" ref="B77:B80" si="0">B66</f>
        <v>0</v>
      </c>
      <c r="C77" s="28" t="e">
        <f t="array" ref="C77">VLOOKUP($B66,Input!$B$2:$U$22,MATCH(C$71,Input!$B$2:$U$2,0),0)</f>
        <v>#N/A</v>
      </c>
      <c r="D77" s="18" t="e">
        <f t="array" ref="D77">VLOOKUP($B66,Input!$B$2:$U$22,MATCH(D$71,Input!$B$2:$U$2,0),0)</f>
        <v>#N/A</v>
      </c>
      <c r="E77" s="18" t="e">
        <f t="array" ref="E77">VLOOKUP($B66,Input!$B$2:$U$22,MATCH(E$71,Input!$B$2:$U$2,0),0)</f>
        <v>#N/A</v>
      </c>
      <c r="F77" s="18" t="e">
        <f t="array" ref="F77">VLOOKUP($B66,Input!$B$2:$U$22,MATCH(F$71,Input!$B$2:$U$2,0),0)</f>
        <v>#N/A</v>
      </c>
      <c r="G77" s="18" t="e">
        <f t="array" ref="G77">VLOOKUP($B66,Input!$B$2:$U$22,MATCH(G$71,Input!$B$2:$U$2,0),0)</f>
        <v>#N/A</v>
      </c>
      <c r="H77" s="18" t="e">
        <f t="array" ref="H77">VLOOKUP($B66,Input!$B$2:$U$22,MATCH(H$71,Input!$B$2:$U$2,0),0)</f>
        <v>#N/A</v>
      </c>
      <c r="I77" s="18" t="e">
        <f t="array" ref="I77">VLOOKUP($B66,Input!$B$2:$U$22,MATCH(I$71,Input!$B$2:$U$2,0),0)</f>
        <v>#N/A</v>
      </c>
      <c r="J77" s="18" t="e">
        <f t="array" ref="J77">VLOOKUP($B66,Input!$B$2:$U$22,MATCH(J$71,Input!$B$2:$U$2,0),0)</f>
        <v>#N/A</v>
      </c>
    </row>
    <row r="78" spans="2:10">
      <c r="B78" s="82">
        <f t="shared" si="0"/>
        <v>0</v>
      </c>
      <c r="C78" s="28" t="e">
        <f t="array" ref="C78">VLOOKUP($B67,Input!$B$2:$U$22,MATCH(C$71,Input!$B$2:$U$2,0),0)</f>
        <v>#N/A</v>
      </c>
      <c r="D78" s="18" t="e">
        <f t="array" ref="D78">VLOOKUP($B67,Input!$B$2:$U$22,MATCH(D$71,Input!$B$2:$U$2,0),0)</f>
        <v>#N/A</v>
      </c>
      <c r="E78" s="18" t="e">
        <f t="array" ref="E78">VLOOKUP($B67,Input!$B$2:$U$22,MATCH(E$71,Input!$B$2:$U$2,0),0)</f>
        <v>#N/A</v>
      </c>
      <c r="F78" s="18" t="e">
        <f t="array" ref="F78">VLOOKUP($B67,Input!$B$2:$U$22,MATCH(F$71,Input!$B$2:$U$2,0),0)</f>
        <v>#N/A</v>
      </c>
      <c r="G78" s="18" t="e">
        <f t="array" ref="G78">VLOOKUP($B67,Input!$B$2:$U$22,MATCH(G$71,Input!$B$2:$U$2,0),0)</f>
        <v>#N/A</v>
      </c>
      <c r="H78" s="18" t="e">
        <f t="array" ref="H78">VLOOKUP($B67,Input!$B$2:$U$22,MATCH(H$71,Input!$B$2:$U$2,0),0)</f>
        <v>#N/A</v>
      </c>
      <c r="I78" s="18" t="e">
        <f t="array" ref="I78">VLOOKUP($B67,Input!$B$2:$U$22,MATCH(I$71,Input!$B$2:$U$2,0),0)</f>
        <v>#N/A</v>
      </c>
      <c r="J78" s="18" t="e">
        <f t="array" ref="J78">VLOOKUP($B67,Input!$B$2:$U$22,MATCH(J$71,Input!$B$2:$U$2,0),0)</f>
        <v>#N/A</v>
      </c>
    </row>
    <row r="79" spans="2:10">
      <c r="B79" s="82">
        <f t="shared" si="0"/>
        <v>0</v>
      </c>
      <c r="C79" s="28" t="e">
        <f t="array" ref="C79">VLOOKUP($B68,Input!$B$2:$U$22,MATCH(C$71,Input!$B$2:$U$2,0),0)</f>
        <v>#N/A</v>
      </c>
      <c r="D79" s="18" t="e">
        <f t="array" ref="D79">VLOOKUP($B68,Input!$B$2:$U$22,MATCH(D$71,Input!$B$2:$U$2,0),0)</f>
        <v>#N/A</v>
      </c>
      <c r="E79" s="18" t="e">
        <f t="array" ref="E79">VLOOKUP($B68,Input!$B$2:$U$22,MATCH(E$71,Input!$B$2:$U$2,0),0)</f>
        <v>#N/A</v>
      </c>
      <c r="F79" s="18" t="e">
        <f t="array" ref="F79">VLOOKUP($B68,Input!$B$2:$U$22,MATCH(F$71,Input!$B$2:$U$2,0),0)</f>
        <v>#N/A</v>
      </c>
      <c r="G79" s="18" t="e">
        <f t="array" ref="G79">VLOOKUP($B68,Input!$B$2:$U$22,MATCH(G$71,Input!$B$2:$U$2,0),0)</f>
        <v>#N/A</v>
      </c>
      <c r="H79" s="18" t="e">
        <f t="array" ref="H79">VLOOKUP($B68,Input!$B$2:$U$22,MATCH(H$71,Input!$B$2:$U$2,0),0)</f>
        <v>#N/A</v>
      </c>
      <c r="I79" s="18" t="e">
        <f t="array" ref="I79">VLOOKUP($B68,Input!$B$2:$U$22,MATCH(I$71,Input!$B$2:$U$2,0),0)</f>
        <v>#N/A</v>
      </c>
      <c r="J79" s="18" t="e">
        <f t="array" ref="J79">VLOOKUP($B68,Input!$B$2:$U$22,MATCH(J$71,Input!$B$2:$U$2,0),0)</f>
        <v>#N/A</v>
      </c>
    </row>
    <row r="80" spans="2:10">
      <c r="B80" s="82">
        <f t="shared" si="0"/>
        <v>0</v>
      </c>
      <c r="C80" s="28" t="e">
        <f t="array" ref="C80">VLOOKUP($B69,Input!$B$2:$U$22,MATCH(C$71,Input!$B$2:$U$2,0),0)</f>
        <v>#N/A</v>
      </c>
      <c r="D80" s="18" t="e">
        <f t="array" ref="D80">VLOOKUP($B69,Input!$B$2:$U$22,MATCH(D$71,Input!$B$2:$U$2,0),0)</f>
        <v>#N/A</v>
      </c>
      <c r="E80" s="18" t="e">
        <f t="array" ref="E80">VLOOKUP($B69,Input!$B$2:$U$22,MATCH(E$71,Input!$B$2:$U$2,0),0)</f>
        <v>#N/A</v>
      </c>
      <c r="F80" s="18" t="e">
        <f t="array" ref="F80">VLOOKUP($B69,Input!$B$2:$U$22,MATCH(F$71,Input!$B$2:$U$2,0),0)</f>
        <v>#N/A</v>
      </c>
      <c r="G80" s="18" t="e">
        <f t="array" ref="G80">VLOOKUP($B69,Input!$B$2:$U$22,MATCH(G$71,Input!$B$2:$U$2,0),0)</f>
        <v>#N/A</v>
      </c>
      <c r="H80" s="18" t="e">
        <f t="array" ref="H80">VLOOKUP($B69,Input!$B$2:$U$22,MATCH(H$71,Input!$B$2:$U$2,0),0)</f>
        <v>#N/A</v>
      </c>
      <c r="I80" s="18" t="e">
        <f t="array" ref="I80">VLOOKUP($B69,Input!$B$2:$U$22,MATCH(I$71,Input!$B$2:$U$2,0),0)</f>
        <v>#N/A</v>
      </c>
      <c r="J80" s="18" t="e">
        <f t="array" ref="J80">VLOOKUP($B69,Input!$B$2:$U$22,MATCH(J$71,Input!$B$2:$U$2,0),0)</f>
        <v>#N/A</v>
      </c>
    </row>
    <row r="82" spans="2:15">
      <c r="B82" s="57" t="s">
        <v>114</v>
      </c>
      <c r="C82" s="35">
        <f>Calculations_Sheet!D75</f>
        <v>2015</v>
      </c>
      <c r="D82" s="35">
        <f>Calculations_Sheet!E75</f>
        <v>2014</v>
      </c>
      <c r="E82" s="35">
        <f>Calculations_Sheet!F75</f>
        <v>2013</v>
      </c>
      <c r="F82" s="35">
        <f>Calculations_Sheet!G75</f>
        <v>2012</v>
      </c>
      <c r="G82" s="36">
        <f>Calculations_Sheet!H75</f>
        <v>2011</v>
      </c>
      <c r="H82" s="36" t="s">
        <v>115</v>
      </c>
    </row>
    <row r="83" spans="2:15">
      <c r="B83" s="82" t="str">
        <f>B72</f>
        <v>S.M Palia</v>
      </c>
      <c r="C83" s="38">
        <f t="array" ref="C83">VLOOKUP($B83,Calculations_Sheet!$A$76:$H$95,4,0)</f>
        <v>-0.18181818181818188</v>
      </c>
      <c r="D83" s="38">
        <f t="array" ref="D83">VLOOKUP($B83,Calculations_Sheet!$A$76:$H$95,5,0)</f>
        <v>0.10000000000000009</v>
      </c>
      <c r="E83" s="39">
        <f t="array" ref="E83">VLOOKUP($B83,Calculations_Sheet!$A$76:$H$95,6,0)</f>
        <v>0</v>
      </c>
      <c r="F83" s="39">
        <f t="array" ref="F83">VLOOKUP($B83,Calculations_Sheet!$A$76:$H$95,7,0)</f>
        <v>0.5</v>
      </c>
      <c r="G83" s="39">
        <f t="array" ref="G83">VLOOKUP($B83,Calculations_Sheet!$A$76:$H$95,8,0)</f>
        <v>0</v>
      </c>
      <c r="H83" s="12">
        <f>((1+C83)*(1+D83)*(1+E83)*(1+F83)*(1+G83))^0.2-1</f>
        <v>6.1858758794934632E-2</v>
      </c>
    </row>
    <row r="84" spans="2:15">
      <c r="B84" s="82" t="str">
        <f>B73</f>
        <v>Renu Sud Karnad</v>
      </c>
      <c r="C84" s="38">
        <f t="array" ref="C84">VLOOKUP($B84,Calculations_Sheet!$A$76:$H$95,4,0)</f>
        <v>-0.5</v>
      </c>
      <c r="D84" s="38">
        <f t="array" ref="D84">VLOOKUP($B84,Calculations_Sheet!$A$76:$H$95,5,0)</f>
        <v>0.19999999999999996</v>
      </c>
      <c r="E84" s="39">
        <f t="array" ref="E84">VLOOKUP($B84,Calculations_Sheet!$A$76:$H$95,6,0)</f>
        <v>7.1428571428571397E-2</v>
      </c>
      <c r="F84" s="39">
        <f t="array" ref="F84">VLOOKUP($B84,Calculations_Sheet!$A$76:$H$95,7,0)</f>
        <v>0.39999999999999991</v>
      </c>
      <c r="G84" s="39">
        <f t="array" ref="G84">VLOOKUP($B84,Calculations_Sheet!$A$76:$H$95,8,0)</f>
        <v>0</v>
      </c>
      <c r="H84" s="12">
        <f t="shared" ref="H84:H87" si="1">((1+C84)*(1+D84)*(1+E84)*(1+F84)*(1+G84))^0.2-1</f>
        <v>-2.0851637639023202E-2</v>
      </c>
    </row>
    <row r="85" spans="2:15">
      <c r="B85" s="82" t="str">
        <f>B74</f>
        <v>S.G Mankad</v>
      </c>
      <c r="C85" s="38">
        <f t="array" ref="C85">VLOOKUP($B85,Calculations_Sheet!$A$76:$H$95,4,0)</f>
        <v>0.28571428571428559</v>
      </c>
      <c r="D85" s="38">
        <f t="array" ref="D85">VLOOKUP($B85,Calculations_Sheet!$A$76:$H$95,5,0)</f>
        <v>-0.125</v>
      </c>
      <c r="E85" s="39">
        <f t="array" ref="E85">VLOOKUP($B85,Calculations_Sheet!$A$76:$H$95,6,0)</f>
        <v>0.33333333333333348</v>
      </c>
      <c r="F85" s="39">
        <f t="array" ref="F85">VLOOKUP($B85,Calculations_Sheet!$A$76:$H$95,7,0)</f>
        <v>8</v>
      </c>
      <c r="G85" s="39">
        <f t="array" ref="G85">VLOOKUP($B85,Calculations_Sheet!$A$76:$H$95,8,0)</f>
        <v>0</v>
      </c>
      <c r="H85" s="12">
        <f t="shared" si="1"/>
        <v>0.68293271816929924</v>
      </c>
    </row>
    <row r="86" spans="2:15">
      <c r="B86" s="82" t="str">
        <f>B75</f>
        <v>Rohit C. Mehta</v>
      </c>
      <c r="C86" s="38">
        <f t="array" ref="C86">VLOOKUP($B86,Calculations_Sheet!$A$76:$H$95,4,0)</f>
        <v>0.10000000000000009</v>
      </c>
      <c r="D86" s="38">
        <f t="array" ref="D86">VLOOKUP($B86,Calculations_Sheet!$A$76:$H$95,5,0)</f>
        <v>0</v>
      </c>
      <c r="E86" s="39">
        <f t="array" ref="E86">VLOOKUP($B86,Calculations_Sheet!$A$76:$H$95,6,0)</f>
        <v>-0.14285714285714302</v>
      </c>
      <c r="F86" s="39">
        <f t="array" ref="F86">VLOOKUP($B86,Calculations_Sheet!$A$76:$H$95,7,0)</f>
        <v>0.94444444444444486</v>
      </c>
      <c r="G86" s="39">
        <f t="array" ref="G86">VLOOKUP($B86,Calculations_Sheet!$A$76:$H$95,8,0)</f>
        <v>0</v>
      </c>
      <c r="H86" s="12">
        <f t="shared" si="1"/>
        <v>0.12888132073019753</v>
      </c>
    </row>
    <row r="87" spans="2:15">
      <c r="B87" s="82">
        <f>B76</f>
        <v>0</v>
      </c>
      <c r="C87" s="38" t="e">
        <f t="array" ref="C87">VLOOKUP($B87,Calculations_Sheet!$A$76:$H$95,4,0)</f>
        <v>#N/A</v>
      </c>
      <c r="D87" s="38" t="e">
        <f t="array" ref="D87">VLOOKUP($B87,Calculations_Sheet!$A$76:$H$95,5,0)</f>
        <v>#N/A</v>
      </c>
      <c r="E87" s="39" t="e">
        <f t="array" ref="E87">VLOOKUP($B87,Calculations_Sheet!$A$76:$H$95,6,0)</f>
        <v>#N/A</v>
      </c>
      <c r="F87" s="39" t="e">
        <f t="array" ref="F87">VLOOKUP($B87,Calculations_Sheet!$A$76:$H$95,7,0)</f>
        <v>#N/A</v>
      </c>
      <c r="G87" s="39" t="e">
        <f t="array" ref="G87">VLOOKUP($B87,Calculations_Sheet!$A$76:$H$95,8,0)</f>
        <v>#N/A</v>
      </c>
      <c r="H87" s="12" t="e">
        <f t="shared" si="1"/>
        <v>#N/A</v>
      </c>
    </row>
    <row r="88" spans="2:15">
      <c r="B88" s="82">
        <f t="shared" ref="B88:B91" si="2">B77</f>
        <v>0</v>
      </c>
      <c r="C88" s="38" t="e">
        <f t="array" ref="C88">VLOOKUP($B88,Calculations_Sheet!$A$76:$H$95,4,0)</f>
        <v>#N/A</v>
      </c>
      <c r="D88" s="38" t="e">
        <f t="array" ref="D88">VLOOKUP($B88,Calculations_Sheet!$A$76:$H$95,5,0)</f>
        <v>#N/A</v>
      </c>
      <c r="E88" s="39" t="e">
        <f t="array" ref="E88">VLOOKUP($B88,Calculations_Sheet!$A$76:$H$95,6,0)</f>
        <v>#N/A</v>
      </c>
      <c r="F88" s="39" t="e">
        <f t="array" ref="F88">VLOOKUP($B88,Calculations_Sheet!$A$76:$H$95,7,0)</f>
        <v>#N/A</v>
      </c>
      <c r="G88" s="39" t="e">
        <f t="array" ref="G88">VLOOKUP($B88,Calculations_Sheet!$A$76:$H$95,8,0)</f>
        <v>#N/A</v>
      </c>
      <c r="H88" s="12" t="e">
        <f t="shared" ref="H88:H91" si="3">((1+C88)*(1+D88)*(1+E88)*(1+F88)*(1+G88))^0.2-1</f>
        <v>#N/A</v>
      </c>
    </row>
    <row r="89" spans="2:15">
      <c r="B89" s="82">
        <f t="shared" si="2"/>
        <v>0</v>
      </c>
      <c r="C89" s="38" t="e">
        <f t="array" ref="C89">VLOOKUP($B89,Calculations_Sheet!$A$76:$H$95,4,0)</f>
        <v>#N/A</v>
      </c>
      <c r="D89" s="38" t="e">
        <f t="array" ref="D89">VLOOKUP($B89,Calculations_Sheet!$A$76:$H$95,5,0)</f>
        <v>#N/A</v>
      </c>
      <c r="E89" s="39" t="e">
        <f t="array" ref="E89">VLOOKUP($B89,Calculations_Sheet!$A$76:$H$95,6,0)</f>
        <v>#N/A</v>
      </c>
      <c r="F89" s="39" t="e">
        <f t="array" ref="F89">VLOOKUP($B89,Calculations_Sheet!$A$76:$H$95,7,0)</f>
        <v>#N/A</v>
      </c>
      <c r="G89" s="39" t="e">
        <f t="array" ref="G89">VLOOKUP($B89,Calculations_Sheet!$A$76:$H$95,8,0)</f>
        <v>#N/A</v>
      </c>
      <c r="H89" s="12" t="e">
        <f t="shared" si="3"/>
        <v>#N/A</v>
      </c>
    </row>
    <row r="90" spans="2:15">
      <c r="B90" s="82">
        <f t="shared" si="2"/>
        <v>0</v>
      </c>
      <c r="C90" s="38" t="e">
        <f t="array" ref="C90">VLOOKUP($B90,Calculations_Sheet!$A$76:$H$95,4,0)</f>
        <v>#N/A</v>
      </c>
      <c r="D90" s="38" t="e">
        <f t="array" ref="D90">VLOOKUP($B90,Calculations_Sheet!$A$76:$H$95,5,0)</f>
        <v>#N/A</v>
      </c>
      <c r="E90" s="39" t="e">
        <f t="array" ref="E90">VLOOKUP($B90,Calculations_Sheet!$A$76:$H$95,6,0)</f>
        <v>#N/A</v>
      </c>
      <c r="F90" s="39" t="e">
        <f t="array" ref="F90">VLOOKUP($B90,Calculations_Sheet!$A$76:$H$95,7,0)</f>
        <v>#N/A</v>
      </c>
      <c r="G90" s="39" t="e">
        <f t="array" ref="G90">VLOOKUP($B90,Calculations_Sheet!$A$76:$H$95,8,0)</f>
        <v>#N/A</v>
      </c>
      <c r="H90" s="12" t="e">
        <f t="shared" si="3"/>
        <v>#N/A</v>
      </c>
    </row>
    <row r="91" spans="2:15">
      <c r="B91" s="82">
        <f t="shared" si="2"/>
        <v>0</v>
      </c>
      <c r="C91" s="38" t="e">
        <f t="array" ref="C91">VLOOKUP($B91,Calculations_Sheet!$A$76:$H$95,4,0)</f>
        <v>#N/A</v>
      </c>
      <c r="D91" s="38" t="e">
        <f t="array" ref="D91">VLOOKUP($B91,Calculations_Sheet!$A$76:$H$95,5,0)</f>
        <v>#N/A</v>
      </c>
      <c r="E91" s="39" t="e">
        <f t="array" ref="E91">VLOOKUP($B91,Calculations_Sheet!$A$76:$H$95,6,0)</f>
        <v>#N/A</v>
      </c>
      <c r="F91" s="39" t="e">
        <f t="array" ref="F91">VLOOKUP($B91,Calculations_Sheet!$A$76:$H$95,7,0)</f>
        <v>#N/A</v>
      </c>
      <c r="G91" s="39" t="e">
        <f t="array" ref="G91">VLOOKUP($B91,Calculations_Sheet!$A$76:$H$95,8,0)</f>
        <v>#N/A</v>
      </c>
      <c r="H91" s="12" t="e">
        <f t="shared" si="3"/>
        <v>#N/A</v>
      </c>
    </row>
    <row r="93" spans="2:15">
      <c r="B93" s="57" t="s">
        <v>116</v>
      </c>
      <c r="C93" s="31" t="s">
        <v>178</v>
      </c>
      <c r="D93" s="36" t="s">
        <v>1330</v>
      </c>
      <c r="E93" s="36" t="s">
        <v>998</v>
      </c>
      <c r="F93" s="36" t="s">
        <v>119</v>
      </c>
      <c r="G93" s="36" t="s">
        <v>999</v>
      </c>
      <c r="H93" s="36" t="s">
        <v>1002</v>
      </c>
      <c r="I93" s="36" t="s">
        <v>120</v>
      </c>
      <c r="J93" s="36" t="s">
        <v>1000</v>
      </c>
      <c r="K93" s="36" t="s">
        <v>1003</v>
      </c>
      <c r="L93" s="36" t="s">
        <v>121</v>
      </c>
      <c r="M93" s="36" t="s">
        <v>1001</v>
      </c>
      <c r="N93" s="36" t="s">
        <v>1004</v>
      </c>
      <c r="O93" s="36" t="s">
        <v>122</v>
      </c>
    </row>
    <row r="94" spans="2:15">
      <c r="B94" s="82" t="str">
        <f>B83</f>
        <v>S.M Palia</v>
      </c>
      <c r="C94" s="18" t="str">
        <f t="array" ref="C94">VLOOKUP($B61,Input!$B$2:$U$22,MATCH(C$93,Input!$B$2:$U$2,0),0)</f>
        <v>3/3</v>
      </c>
      <c r="D94" s="83">
        <f>VLOOKUP($B94,Calculations_Sheet!$A$27:$Z$42,MATCH(D$93,Calculations_Sheet!$A$27:$Z$27,0),0)</f>
        <v>1</v>
      </c>
      <c r="E94" s="83">
        <f>VLOOKUP($B94,Calculations_Sheet!$A$27:$Z$42,MATCH(E$93,Calculations_Sheet!$A$27:$Z$27,0),0)</f>
        <v>1</v>
      </c>
      <c r="F94" s="83">
        <f>VLOOKUP($B94,Calculations_Sheet!$A$27:$Z$42,MATCH(F$93,Calculations_Sheet!$A$27:$Z$27,0),0)</f>
        <v>1</v>
      </c>
      <c r="G94" s="83">
        <f>VLOOKUP($B94,Calculations_Sheet!$A$27:$Z$42,MATCH(G$93,Calculations_Sheet!$A$27:$Z$27,0),0)</f>
        <v>1</v>
      </c>
      <c r="H94" s="83">
        <f>VLOOKUP($B94,Calculations_Sheet!$A$27:$Z$42,MATCH(H$93,Calculations_Sheet!$A$27:$Z$27,0),0)</f>
        <v>1</v>
      </c>
      <c r="I94" s="83" t="str">
        <f>VLOOKUP($B94,Calculations_Sheet!$A$27:$Z$42,MATCH(I$93,Calculations_Sheet!$A$27:$Z$27,0),0)</f>
        <v/>
      </c>
      <c r="J94" s="83">
        <f>VLOOKUP($B94,Calculations_Sheet!$A$27:$Z$42,MATCH(J$93,Calculations_Sheet!$A$27:$Z$27,0),0)</f>
        <v>1</v>
      </c>
      <c r="K94" s="83">
        <f>VLOOKUP($B94,Calculations_Sheet!$A$27:$Z$42,MATCH(K$93,Calculations_Sheet!$A$27:$Z$27,0),0)</f>
        <v>1</v>
      </c>
      <c r="L94" s="83" t="str">
        <f>VLOOKUP($B94,Calculations_Sheet!$A$27:$Z$42,MATCH(L$93,Calculations_Sheet!$A$27:$Z$27,0),0)</f>
        <v/>
      </c>
      <c r="M94" s="83" t="str">
        <f>VLOOKUP($B94,Calculations_Sheet!$A$27:$Z$42,MATCH(M$93,Calculations_Sheet!$A$27:$Z$27,0),0)</f>
        <v/>
      </c>
      <c r="N94" s="83" t="str">
        <f>VLOOKUP($B94,Calculations_Sheet!$A$27:$Z$42,MATCH(N$93,Calculations_Sheet!$A$27:$Z$27,0),0)</f>
        <v/>
      </c>
      <c r="O94" s="83" t="str">
        <f>VLOOKUP($B94,Calculations_Sheet!$A$27:$Z$42,MATCH(O$93,Calculations_Sheet!$A$27:$Z$27,0),0)</f>
        <v/>
      </c>
    </row>
    <row r="95" spans="2:15">
      <c r="B95" s="82" t="str">
        <f t="shared" ref="B95:B102" si="4">B84</f>
        <v>Renu Sud Karnad</v>
      </c>
      <c r="C95" s="18" t="str">
        <f t="array" ref="C95">VLOOKUP($B62,Input!$B$2:$U$22,MATCH(C$93,Input!$B$2:$U$2,0),0)</f>
        <v>2/3</v>
      </c>
      <c r="D95" s="83">
        <f>VLOOKUP($B95,Calculations_Sheet!$A$27:$Z$42,MATCH(D$93,Calculations_Sheet!$A$27:$Z$27,0),0)</f>
        <v>0.5</v>
      </c>
      <c r="E95" s="83">
        <f>VLOOKUP($B95,Calculations_Sheet!$A$27:$Z$42,MATCH(E$93,Calculations_Sheet!$A$27:$Z$27,0),0)</f>
        <v>1</v>
      </c>
      <c r="F95" s="83">
        <f>VLOOKUP($B95,Calculations_Sheet!$A$27:$Z$42,MATCH(F$93,Calculations_Sheet!$A$27:$Z$27,0),0)</f>
        <v>1</v>
      </c>
      <c r="G95" s="83" t="str">
        <f>VLOOKUP($B95,Calculations_Sheet!$A$27:$Z$42,MATCH(G$93,Calculations_Sheet!$A$27:$Z$27,0),0)</f>
        <v/>
      </c>
      <c r="H95" s="83" t="str">
        <f>VLOOKUP($B95,Calculations_Sheet!$A$27:$Z$42,MATCH(H$93,Calculations_Sheet!$A$27:$Z$27,0),0)</f>
        <v/>
      </c>
      <c r="I95" s="83" t="str">
        <f>VLOOKUP($B95,Calculations_Sheet!$A$27:$Z$42,MATCH(I$93,Calculations_Sheet!$A$27:$Z$27,0),0)</f>
        <v/>
      </c>
      <c r="J95" s="83">
        <f>VLOOKUP($B95,Calculations_Sheet!$A$27:$Z$42,MATCH(J$93,Calculations_Sheet!$A$27:$Z$27,0),0)</f>
        <v>1</v>
      </c>
      <c r="K95" s="83">
        <f>VLOOKUP($B95,Calculations_Sheet!$A$27:$Z$42,MATCH(K$93,Calculations_Sheet!$A$27:$Z$27,0),0)</f>
        <v>1</v>
      </c>
      <c r="L95" s="83" t="str">
        <f>VLOOKUP($B95,Calculations_Sheet!$A$27:$Z$42,MATCH(L$93,Calculations_Sheet!$A$27:$Z$27,0),0)</f>
        <v/>
      </c>
      <c r="M95" s="83" t="str">
        <f>VLOOKUP($B95,Calculations_Sheet!$A$27:$Z$42,MATCH(M$93,Calculations_Sheet!$A$27:$Z$27,0),0)</f>
        <v/>
      </c>
      <c r="N95" s="83" t="str">
        <f>VLOOKUP($B95,Calculations_Sheet!$A$27:$Z$42,MATCH(N$93,Calculations_Sheet!$A$27:$Z$27,0),0)</f>
        <v/>
      </c>
      <c r="O95" s="83" t="str">
        <f>VLOOKUP($B95,Calculations_Sheet!$A$27:$Z$42,MATCH(O$93,Calculations_Sheet!$A$27:$Z$27,0),0)</f>
        <v/>
      </c>
    </row>
    <row r="96" spans="2:15">
      <c r="B96" s="82" t="str">
        <f t="shared" si="4"/>
        <v>S.G Mankad</v>
      </c>
      <c r="C96" s="18" t="str">
        <f t="array" ref="C96">VLOOKUP($B63,Input!$B$2:$U$22,MATCH(C$93,Input!$B$2:$U$2,0),0)</f>
        <v>2/3</v>
      </c>
      <c r="D96" s="83">
        <f>VLOOKUP($B96,Calculations_Sheet!$A$27:$Z$42,MATCH(D$93,Calculations_Sheet!$A$27:$Z$27,0),0)</f>
        <v>1</v>
      </c>
      <c r="E96" s="83">
        <f>VLOOKUP($B96,Calculations_Sheet!$A$27:$Z$42,MATCH(E$93,Calculations_Sheet!$A$27:$Z$27,0),0)</f>
        <v>0.8</v>
      </c>
      <c r="F96" s="83">
        <f>VLOOKUP($B96,Calculations_Sheet!$A$27:$Z$42,MATCH(F$93,Calculations_Sheet!$A$27:$Z$27,0),0)</f>
        <v>1</v>
      </c>
      <c r="G96" s="83" t="str">
        <f>VLOOKUP($B96,Calculations_Sheet!$A$27:$Z$42,MATCH(G$93,Calculations_Sheet!$A$27:$Z$27,0),0)</f>
        <v/>
      </c>
      <c r="H96" s="83" t="str">
        <f>VLOOKUP($B96,Calculations_Sheet!$A$27:$Z$42,MATCH(H$93,Calculations_Sheet!$A$27:$Z$27,0),0)</f>
        <v/>
      </c>
      <c r="I96" s="83" t="str">
        <f>VLOOKUP($B96,Calculations_Sheet!$A$27:$Z$42,MATCH(I$93,Calculations_Sheet!$A$27:$Z$27,0),0)</f>
        <v/>
      </c>
      <c r="J96" s="83" t="str">
        <f>VLOOKUP($B96,Calculations_Sheet!$A$27:$Z$42,MATCH(J$93,Calculations_Sheet!$A$27:$Z$27,0),0)</f>
        <v/>
      </c>
      <c r="K96" s="83" t="str">
        <f>VLOOKUP($B96,Calculations_Sheet!$A$27:$Z$42,MATCH(K$93,Calculations_Sheet!$A$27:$Z$27,0),0)</f>
        <v/>
      </c>
      <c r="L96" s="83" t="str">
        <f>VLOOKUP($B96,Calculations_Sheet!$A$27:$Z$42,MATCH(L$93,Calculations_Sheet!$A$27:$Z$27,0),0)</f>
        <v/>
      </c>
      <c r="M96" s="83" t="str">
        <f>VLOOKUP($B96,Calculations_Sheet!$A$27:$Z$42,MATCH(M$93,Calculations_Sheet!$A$27:$Z$27,0),0)</f>
        <v/>
      </c>
      <c r="N96" s="83" t="str">
        <f>VLOOKUP($B96,Calculations_Sheet!$A$27:$Z$42,MATCH(N$93,Calculations_Sheet!$A$27:$Z$27,0),0)</f>
        <v/>
      </c>
      <c r="O96" s="83" t="str">
        <f>VLOOKUP($B96,Calculations_Sheet!$A$27:$Z$42,MATCH(O$93,Calculations_Sheet!$A$27:$Z$27,0),0)</f>
        <v/>
      </c>
    </row>
    <row r="97" spans="2:15">
      <c r="B97" s="82" t="str">
        <f t="shared" si="4"/>
        <v>Rohit C. Mehta</v>
      </c>
      <c r="C97" s="18" t="str">
        <f t="array" ref="C97">VLOOKUP($B64,Input!$B$2:$U$22,MATCH(C$93,Input!$B$2:$U$2,0),0)</f>
        <v>0/3</v>
      </c>
      <c r="D97" s="83">
        <f>VLOOKUP($B97,Calculations_Sheet!$A$27:$Z$42,MATCH(D$93,Calculations_Sheet!$A$27:$Z$27,0),0)</f>
        <v>0.75</v>
      </c>
      <c r="E97" s="83">
        <f>VLOOKUP($B97,Calculations_Sheet!$A$27:$Z$42,MATCH(E$93,Calculations_Sheet!$A$27:$Z$27,0),0)</f>
        <v>0.6</v>
      </c>
      <c r="F97" s="83">
        <f>VLOOKUP($B97,Calculations_Sheet!$A$27:$Z$42,MATCH(F$93,Calculations_Sheet!$A$27:$Z$27,0),0)</f>
        <v>0.75</v>
      </c>
      <c r="G97" s="83">
        <f>VLOOKUP($B97,Calculations_Sheet!$A$27:$Z$42,MATCH(G$93,Calculations_Sheet!$A$27:$Z$27,0),0)</f>
        <v>0.8</v>
      </c>
      <c r="H97" s="83">
        <f>VLOOKUP($B97,Calculations_Sheet!$A$27:$Z$42,MATCH(H$93,Calculations_Sheet!$A$27:$Z$27,0),0)</f>
        <v>0.6</v>
      </c>
      <c r="I97" s="83" t="str">
        <f>VLOOKUP($B97,Calculations_Sheet!$A$27:$Z$42,MATCH(I$93,Calculations_Sheet!$A$27:$Z$27,0),0)</f>
        <v/>
      </c>
      <c r="J97" s="83" t="str">
        <f>VLOOKUP($B97,Calculations_Sheet!$A$27:$Z$42,MATCH(J$93,Calculations_Sheet!$A$27:$Z$27,0),0)</f>
        <v/>
      </c>
      <c r="K97" s="83" t="str">
        <f>VLOOKUP($B97,Calculations_Sheet!$A$27:$Z$42,MATCH(K$93,Calculations_Sheet!$A$27:$Z$27,0),0)</f>
        <v/>
      </c>
      <c r="L97" s="83" t="str">
        <f>VLOOKUP($B97,Calculations_Sheet!$A$27:$Z$42,MATCH(L$93,Calculations_Sheet!$A$27:$Z$27,0),0)</f>
        <v/>
      </c>
      <c r="M97" s="83" t="str">
        <f>VLOOKUP($B97,Calculations_Sheet!$A$27:$Z$42,MATCH(M$93,Calculations_Sheet!$A$27:$Z$27,0),0)</f>
        <v/>
      </c>
      <c r="N97" s="83" t="str">
        <f>VLOOKUP($B97,Calculations_Sheet!$A$27:$Z$42,MATCH(N$93,Calculations_Sheet!$A$27:$Z$27,0),0)</f>
        <v/>
      </c>
      <c r="O97" s="83" t="str">
        <f>VLOOKUP($B97,Calculations_Sheet!$A$27:$Z$42,MATCH(O$93,Calculations_Sheet!$A$27:$Z$27,0),0)</f>
        <v/>
      </c>
    </row>
    <row r="98" spans="2:15">
      <c r="B98" s="82">
        <f t="shared" si="4"/>
        <v>0</v>
      </c>
      <c r="C98" s="18" t="e">
        <f t="array" ref="C98">VLOOKUP($B65,Input!$B$2:$U$22,MATCH(C$93,Input!$B$2:$U$2,0),0)</f>
        <v>#N/A</v>
      </c>
      <c r="D98" s="83" t="e">
        <f>VLOOKUP($B98,Calculations_Sheet!$A$27:$Z$42,MATCH(D$93,Calculations_Sheet!$A$27:$Z$27,0),0)</f>
        <v>#N/A</v>
      </c>
      <c r="E98" s="83" t="e">
        <f>VLOOKUP($B98,Calculations_Sheet!$A$27:$Z$42,MATCH(E$93,Calculations_Sheet!$A$27:$Z$27,0),0)</f>
        <v>#N/A</v>
      </c>
      <c r="F98" s="83" t="e">
        <f>VLOOKUP($B98,Calculations_Sheet!$A$27:$Z$42,MATCH(F$93,Calculations_Sheet!$A$27:$Z$27,0),0)</f>
        <v>#N/A</v>
      </c>
      <c r="G98" s="83" t="e">
        <f>VLOOKUP($B98,Calculations_Sheet!$A$27:$Z$42,MATCH(G$93,Calculations_Sheet!$A$27:$Z$27,0),0)</f>
        <v>#N/A</v>
      </c>
      <c r="H98" s="83" t="e">
        <f>VLOOKUP($B98,Calculations_Sheet!$A$27:$Z$42,MATCH(H$93,Calculations_Sheet!$A$27:$Z$27,0),0)</f>
        <v>#N/A</v>
      </c>
      <c r="I98" s="83" t="e">
        <f>VLOOKUP($B98,Calculations_Sheet!$A$27:$Z$42,MATCH(I$93,Calculations_Sheet!$A$27:$Z$27,0),0)</f>
        <v>#N/A</v>
      </c>
      <c r="J98" s="83" t="e">
        <f>VLOOKUP($B98,Calculations_Sheet!$A$27:$Z$42,MATCH(J$93,Calculations_Sheet!$A$27:$Z$27,0),0)</f>
        <v>#N/A</v>
      </c>
      <c r="K98" s="83" t="e">
        <f>VLOOKUP($B98,Calculations_Sheet!$A$27:$Z$42,MATCH(K$93,Calculations_Sheet!$A$27:$Z$27,0),0)</f>
        <v>#N/A</v>
      </c>
      <c r="L98" s="83" t="e">
        <f>VLOOKUP($B98,Calculations_Sheet!$A$27:$Z$42,MATCH(L$93,Calculations_Sheet!$A$27:$Z$27,0),0)</f>
        <v>#N/A</v>
      </c>
      <c r="M98" s="83" t="e">
        <f>VLOOKUP($B98,Calculations_Sheet!$A$27:$Z$42,MATCH(M$93,Calculations_Sheet!$A$27:$Z$27,0),0)</f>
        <v>#N/A</v>
      </c>
      <c r="N98" s="83" t="e">
        <f>VLOOKUP($B98,Calculations_Sheet!$A$27:$Z$42,MATCH(N$93,Calculations_Sheet!$A$27:$Z$27,0),0)</f>
        <v>#N/A</v>
      </c>
      <c r="O98" s="83" t="e">
        <f>VLOOKUP($B98,Calculations_Sheet!$A$27:$Z$42,MATCH(O$93,Calculations_Sheet!$A$27:$Z$27,0),0)</f>
        <v>#N/A</v>
      </c>
    </row>
    <row r="99" spans="2:15">
      <c r="B99" s="82">
        <f t="shared" si="4"/>
        <v>0</v>
      </c>
      <c r="C99" s="18" t="e">
        <f t="array" ref="C99">VLOOKUP($B66,Input!$B$2:$U$22,MATCH(C$93,Input!$B$2:$U$2,0),0)</f>
        <v>#N/A</v>
      </c>
      <c r="D99" s="83" t="e">
        <f>VLOOKUP($B99,Calculations_Sheet!$A$27:$Z$42,MATCH(D$93,Calculations_Sheet!$A$27:$Z$27,0),0)</f>
        <v>#N/A</v>
      </c>
      <c r="E99" s="83" t="e">
        <f>VLOOKUP($B99,Calculations_Sheet!$A$27:$Z$42,MATCH(E$93,Calculations_Sheet!$A$27:$Z$27,0),0)</f>
        <v>#N/A</v>
      </c>
      <c r="F99" s="83" t="e">
        <f>VLOOKUP($B99,Calculations_Sheet!$A$27:$Z$42,MATCH(F$93,Calculations_Sheet!$A$27:$Z$27,0),0)</f>
        <v>#N/A</v>
      </c>
      <c r="G99" s="83" t="e">
        <f>VLOOKUP($B99,Calculations_Sheet!$A$27:$Z$42,MATCH(G$93,Calculations_Sheet!$A$27:$Z$27,0),0)</f>
        <v>#N/A</v>
      </c>
      <c r="H99" s="83" t="e">
        <f>VLOOKUP($B99,Calculations_Sheet!$A$27:$Z$42,MATCH(H$93,Calculations_Sheet!$A$27:$Z$27,0),0)</f>
        <v>#N/A</v>
      </c>
      <c r="I99" s="83" t="e">
        <f>VLOOKUP($B99,Calculations_Sheet!$A$27:$Z$42,MATCH(I$93,Calculations_Sheet!$A$27:$Z$27,0),0)</f>
        <v>#N/A</v>
      </c>
      <c r="J99" s="83" t="e">
        <f>VLOOKUP($B99,Calculations_Sheet!$A$27:$Z$42,MATCH(J$93,Calculations_Sheet!$A$27:$Z$27,0),0)</f>
        <v>#N/A</v>
      </c>
      <c r="K99" s="83" t="e">
        <f>VLOOKUP($B99,Calculations_Sheet!$A$27:$Z$42,MATCH(K$93,Calculations_Sheet!$A$27:$Z$27,0),0)</f>
        <v>#N/A</v>
      </c>
      <c r="L99" s="83" t="e">
        <f>VLOOKUP($B99,Calculations_Sheet!$A$27:$Z$42,MATCH(L$93,Calculations_Sheet!$A$27:$Z$27,0),0)</f>
        <v>#N/A</v>
      </c>
      <c r="M99" s="83" t="e">
        <f>VLOOKUP($B99,Calculations_Sheet!$A$27:$Z$42,MATCH(M$93,Calculations_Sheet!$A$27:$Z$27,0),0)</f>
        <v>#N/A</v>
      </c>
      <c r="N99" s="83" t="e">
        <f>VLOOKUP($B99,Calculations_Sheet!$A$27:$Z$42,MATCH(N$93,Calculations_Sheet!$A$27:$Z$27,0),0)</f>
        <v>#N/A</v>
      </c>
      <c r="O99" s="83" t="e">
        <f>VLOOKUP($B99,Calculations_Sheet!$A$27:$Z$42,MATCH(O$93,Calculations_Sheet!$A$27:$Z$27,0),0)</f>
        <v>#N/A</v>
      </c>
    </row>
    <row r="100" spans="2:15">
      <c r="B100" s="82">
        <f t="shared" si="4"/>
        <v>0</v>
      </c>
      <c r="C100" s="18" t="e">
        <f t="array" ref="C100">VLOOKUP($B67,Input!$B$2:$U$22,MATCH(C$93,Input!$B$2:$U$2,0),0)</f>
        <v>#N/A</v>
      </c>
      <c r="D100" s="83" t="e">
        <f>VLOOKUP($B100,Calculations_Sheet!$A$27:$Z$42,MATCH(D$93,Calculations_Sheet!$A$27:$Z$27,0),0)</f>
        <v>#N/A</v>
      </c>
      <c r="E100" s="83" t="e">
        <f>VLOOKUP($B100,Calculations_Sheet!$A$27:$Z$42,MATCH(E$93,Calculations_Sheet!$A$27:$Z$27,0),0)</f>
        <v>#N/A</v>
      </c>
      <c r="F100" s="83" t="e">
        <f>VLOOKUP($B100,Calculations_Sheet!$A$27:$Z$42,MATCH(F$93,Calculations_Sheet!$A$27:$Z$27,0),0)</f>
        <v>#N/A</v>
      </c>
      <c r="G100" s="83" t="e">
        <f>VLOOKUP($B100,Calculations_Sheet!$A$27:$Z$42,MATCH(G$93,Calculations_Sheet!$A$27:$Z$27,0),0)</f>
        <v>#N/A</v>
      </c>
      <c r="H100" s="83" t="e">
        <f>VLOOKUP($B100,Calculations_Sheet!$A$27:$Z$42,MATCH(H$93,Calculations_Sheet!$A$27:$Z$27,0),0)</f>
        <v>#N/A</v>
      </c>
      <c r="I100" s="83" t="e">
        <f>VLOOKUP($B100,Calculations_Sheet!$A$27:$Z$42,MATCH(I$93,Calculations_Sheet!$A$27:$Z$27,0),0)</f>
        <v>#N/A</v>
      </c>
      <c r="J100" s="83" t="e">
        <f>VLOOKUP($B100,Calculations_Sheet!$A$27:$Z$42,MATCH(J$93,Calculations_Sheet!$A$27:$Z$27,0),0)</f>
        <v>#N/A</v>
      </c>
      <c r="K100" s="83" t="e">
        <f>VLOOKUP($B100,Calculations_Sheet!$A$27:$Z$42,MATCH(K$93,Calculations_Sheet!$A$27:$Z$27,0),0)</f>
        <v>#N/A</v>
      </c>
      <c r="L100" s="83" t="e">
        <f>VLOOKUP($B100,Calculations_Sheet!$A$27:$Z$42,MATCH(L$93,Calculations_Sheet!$A$27:$Z$27,0),0)</f>
        <v>#N/A</v>
      </c>
      <c r="M100" s="83" t="e">
        <f>VLOOKUP($B100,Calculations_Sheet!$A$27:$Z$42,MATCH(M$93,Calculations_Sheet!$A$27:$Z$27,0),0)</f>
        <v>#N/A</v>
      </c>
      <c r="N100" s="83" t="e">
        <f>VLOOKUP($B100,Calculations_Sheet!$A$27:$Z$42,MATCH(N$93,Calculations_Sheet!$A$27:$Z$27,0),0)</f>
        <v>#N/A</v>
      </c>
      <c r="O100" s="83" t="e">
        <f>VLOOKUP($B100,Calculations_Sheet!$A$27:$Z$42,MATCH(O$93,Calculations_Sheet!$A$27:$Z$27,0),0)</f>
        <v>#N/A</v>
      </c>
    </row>
    <row r="101" spans="2:15">
      <c r="B101" s="82">
        <f t="shared" si="4"/>
        <v>0</v>
      </c>
      <c r="C101" s="18" t="e">
        <f t="array" ref="C101">VLOOKUP($B68,Input!$B$2:$U$22,MATCH(C$93,Input!$B$2:$U$2,0),0)</f>
        <v>#N/A</v>
      </c>
      <c r="D101" s="83" t="e">
        <f>VLOOKUP($B101,Calculations_Sheet!$A$27:$Z$42,MATCH(D$93,Calculations_Sheet!$A$27:$Z$27,0),0)</f>
        <v>#N/A</v>
      </c>
      <c r="E101" s="83" t="e">
        <f>VLOOKUP($B101,Calculations_Sheet!$A$27:$Z$42,MATCH(E$93,Calculations_Sheet!$A$27:$Z$27,0),0)</f>
        <v>#N/A</v>
      </c>
      <c r="F101" s="83" t="e">
        <f>VLOOKUP($B101,Calculations_Sheet!$A$27:$Z$42,MATCH(F$93,Calculations_Sheet!$A$27:$Z$27,0),0)</f>
        <v>#N/A</v>
      </c>
      <c r="G101" s="83" t="e">
        <f>VLOOKUP($B101,Calculations_Sheet!$A$27:$Z$42,MATCH(G$93,Calculations_Sheet!$A$27:$Z$27,0),0)</f>
        <v>#N/A</v>
      </c>
      <c r="H101" s="83" t="e">
        <f>VLOOKUP($B101,Calculations_Sheet!$A$27:$Z$42,MATCH(H$93,Calculations_Sheet!$A$27:$Z$27,0),0)</f>
        <v>#N/A</v>
      </c>
      <c r="I101" s="83" t="e">
        <f>VLOOKUP($B101,Calculations_Sheet!$A$27:$Z$42,MATCH(I$93,Calculations_Sheet!$A$27:$Z$27,0),0)</f>
        <v>#N/A</v>
      </c>
      <c r="J101" s="83" t="e">
        <f>VLOOKUP($B101,Calculations_Sheet!$A$27:$Z$42,MATCH(J$93,Calculations_Sheet!$A$27:$Z$27,0),0)</f>
        <v>#N/A</v>
      </c>
      <c r="K101" s="83" t="e">
        <f>VLOOKUP($B101,Calculations_Sheet!$A$27:$Z$42,MATCH(K$93,Calculations_Sheet!$A$27:$Z$27,0),0)</f>
        <v>#N/A</v>
      </c>
      <c r="L101" s="83" t="e">
        <f>VLOOKUP($B101,Calculations_Sheet!$A$27:$Z$42,MATCH(L$93,Calculations_Sheet!$A$27:$Z$27,0),0)</f>
        <v>#N/A</v>
      </c>
      <c r="M101" s="83" t="e">
        <f>VLOOKUP($B101,Calculations_Sheet!$A$27:$Z$42,MATCH(M$93,Calculations_Sheet!$A$27:$Z$27,0),0)</f>
        <v>#N/A</v>
      </c>
      <c r="N101" s="83" t="e">
        <f>VLOOKUP($B101,Calculations_Sheet!$A$27:$Z$42,MATCH(N$93,Calculations_Sheet!$A$27:$Z$27,0),0)</f>
        <v>#N/A</v>
      </c>
      <c r="O101" s="83" t="e">
        <f>VLOOKUP($B101,Calculations_Sheet!$A$27:$Z$42,MATCH(O$93,Calculations_Sheet!$A$27:$Z$27,0),0)</f>
        <v>#N/A</v>
      </c>
    </row>
    <row r="102" spans="2:15">
      <c r="B102" s="82">
        <f t="shared" si="4"/>
        <v>0</v>
      </c>
      <c r="C102" s="18" t="e">
        <f t="array" ref="C102">VLOOKUP($B69,Input!$B$2:$U$22,MATCH(C$93,Input!$B$2:$U$2,0),0)</f>
        <v>#N/A</v>
      </c>
      <c r="D102" s="83" t="e">
        <f>VLOOKUP($B102,Calculations_Sheet!$A$27:$Z$42,MATCH(D$93,Calculations_Sheet!$A$27:$Z$27,0),0)</f>
        <v>#N/A</v>
      </c>
      <c r="E102" s="83" t="e">
        <f>VLOOKUP($B102,Calculations_Sheet!$A$27:$Z$42,MATCH(E$93,Calculations_Sheet!$A$27:$Z$27,0),0)</f>
        <v>#N/A</v>
      </c>
      <c r="F102" s="83" t="e">
        <f>VLOOKUP($B102,Calculations_Sheet!$A$27:$Z$42,MATCH(F$93,Calculations_Sheet!$A$27:$Z$27,0),0)</f>
        <v>#N/A</v>
      </c>
      <c r="G102" s="83" t="e">
        <f>VLOOKUP($B102,Calculations_Sheet!$A$27:$Z$42,MATCH(G$93,Calculations_Sheet!$A$27:$Z$27,0),0)</f>
        <v>#N/A</v>
      </c>
      <c r="H102" s="83" t="e">
        <f>VLOOKUP($B102,Calculations_Sheet!$A$27:$Z$42,MATCH(H$93,Calculations_Sheet!$A$27:$Z$27,0),0)</f>
        <v>#N/A</v>
      </c>
      <c r="I102" s="83" t="e">
        <f>VLOOKUP($B102,Calculations_Sheet!$A$27:$Z$42,MATCH(I$93,Calculations_Sheet!$A$27:$Z$27,0),0)</f>
        <v>#N/A</v>
      </c>
      <c r="J102" s="83" t="e">
        <f>VLOOKUP($B102,Calculations_Sheet!$A$27:$Z$42,MATCH(J$93,Calculations_Sheet!$A$27:$Z$27,0),0)</f>
        <v>#N/A</v>
      </c>
      <c r="K102" s="83" t="e">
        <f>VLOOKUP($B102,Calculations_Sheet!$A$27:$Z$42,MATCH(K$93,Calculations_Sheet!$A$27:$Z$27,0),0)</f>
        <v>#N/A</v>
      </c>
      <c r="L102" s="83" t="e">
        <f>VLOOKUP($B102,Calculations_Sheet!$A$27:$Z$42,MATCH(L$93,Calculations_Sheet!$A$27:$Z$27,0),0)</f>
        <v>#N/A</v>
      </c>
      <c r="M102" s="83" t="e">
        <f>VLOOKUP($B102,Calculations_Sheet!$A$27:$Z$42,MATCH(M$93,Calculations_Sheet!$A$27:$Z$27,0),0)</f>
        <v>#N/A</v>
      </c>
      <c r="N102" s="83" t="e">
        <f>VLOOKUP($B102,Calculations_Sheet!$A$27:$Z$42,MATCH(N$93,Calculations_Sheet!$A$27:$Z$27,0),0)</f>
        <v>#N/A</v>
      </c>
      <c r="O102" s="83" t="e">
        <f>VLOOKUP($B102,Calculations_Sheet!$A$27:$Z$42,MATCH(O$93,Calculations_Sheet!$A$27:$Z$27,0),0)</f>
        <v>#N/A</v>
      </c>
    </row>
    <row r="105" spans="2:15">
      <c r="B105" s="57" t="s">
        <v>1334</v>
      </c>
      <c r="C105" s="567" t="s">
        <v>85</v>
      </c>
      <c r="D105" s="568"/>
      <c r="E105" s="569"/>
      <c r="F105" s="567" t="s">
        <v>82</v>
      </c>
      <c r="G105" s="568"/>
      <c r="H105" s="569"/>
      <c r="I105" s="567" t="s">
        <v>81</v>
      </c>
      <c r="J105" s="568"/>
      <c r="K105" s="569"/>
      <c r="L105" s="32" t="s">
        <v>83</v>
      </c>
    </row>
    <row r="106" spans="2:15" ht="24">
      <c r="B106" s="6"/>
      <c r="C106" s="96" t="s">
        <v>22</v>
      </c>
      <c r="D106" s="97" t="s">
        <v>58</v>
      </c>
      <c r="E106" s="98" t="s">
        <v>90</v>
      </c>
      <c r="F106" s="96" t="s">
        <v>78</v>
      </c>
      <c r="G106" s="97" t="s">
        <v>79</v>
      </c>
      <c r="H106" s="98" t="s">
        <v>80</v>
      </c>
      <c r="I106" s="96" t="s">
        <v>78</v>
      </c>
      <c r="J106" s="97" t="s">
        <v>79</v>
      </c>
      <c r="K106" s="98" t="s">
        <v>80</v>
      </c>
      <c r="L106" s="36" t="s">
        <v>66</v>
      </c>
    </row>
    <row r="107" spans="2:15">
      <c r="B107" s="6" t="s">
        <v>1335</v>
      </c>
      <c r="C107" s="99">
        <f>COUNTIF(Input!$AF$3:$AF$22,"&lt;&gt;")-COUNTIF(Input!$AF$3:$AF$22,"=M(Resign)")-COUNTIF(Input!$AF$3:$AF$22,"=C(Resign)")</f>
        <v>0</v>
      </c>
      <c r="D107" s="100">
        <f>COUNTIF(Input!$AF$3:$AF$22,"=M(Resign)" )+COUNTIF(Input!$AF$3:$AF$22,"=C(Resign)" )</f>
        <v>0</v>
      </c>
      <c r="E107" s="101">
        <f t="array" ref="E107">SUMPRODUCT((IF(Input!$AF$3:$AF$22="M",1,0)+IF(Input!$AF$3:$AF$22="C",1,0)),(IF(Input!$G$3:$G$22="NEDP",1,0)+IF(Input!$G$3:$G$22="EDP",1,0)))</f>
        <v>0</v>
      </c>
      <c r="F107" s="102">
        <f t="array" aca="1" ref="F107" ca="1">SUMPRODUCT(IF(OFFSET(Input!$G$3,0,0,Total_Directors,1)="ID",1,0),(IF(OFFSET(Input!$AF$3,0,0,Total_Directors,1)="C",1,0)+IF(OFFSET(Input!$AF$3,0,0,Total_Directors,1)="M",1,0)))</f>
        <v>0</v>
      </c>
      <c r="G107" s="103" t="str">
        <f>IF(C107=0,"NA",F107/C107)</f>
        <v>NA</v>
      </c>
      <c r="H107" s="104" t="str">
        <f t="array" aca="1" ref="H107" ca="1">IF(C107&lt;&gt;0,OFFSET(Calculations_Sheet!G52,MATCH("C",Input!$AF$3:$AF$22,0),0),"NA")</f>
        <v>NA</v>
      </c>
      <c r="I107" s="102">
        <f t="array" aca="1" ref="I107" ca="1">SUMPRODUCT(IF(OFFSET(Calculations_Sheet!$H$53,0,0,Total_Directors,1)="ID",1,0),IF(OFFSET(Input!$AF$3,0,0,Total_Directors,1)&lt;&gt;"",1,0))</f>
        <v>0</v>
      </c>
      <c r="J107" s="103" t="str">
        <f>IF(C107=0,"NA",I107/C107)</f>
        <v>NA</v>
      </c>
      <c r="K107" s="104" t="str">
        <f t="array" aca="1" ref="K107" ca="1">IF(C107&lt;&gt;0,OFFSET(Calculations_Sheet!H52,MATCH("C",Input!$AF$3:$AF$22,0),0),"NA")</f>
        <v>NA</v>
      </c>
      <c r="L107" s="99" t="str">
        <f t="array" aca="1" ref="L107" ca="1">IF(C107&lt;&gt;0,OFFSET(Input!P2,MATCH("C",LEFT(Input!$AF$3:$AF$22,1),0),0),"NA")</f>
        <v>NA</v>
      </c>
    </row>
    <row r="108" spans="2:15">
      <c r="B108" s="6" t="s">
        <v>1336</v>
      </c>
      <c r="C108" s="99">
        <f>COUNTIF(Input!$AG$3:$AG$22,"&lt;&gt;")-COUNTIF(Input!$AG$3:$AG$22,"=M(Resign)")-COUNTIF(Input!$AG$3:$AG$22,"=C(Resign)")</f>
        <v>0</v>
      </c>
      <c r="D108" s="100">
        <f>COUNTIF(Input!$AG$3:$AG$22,"=M(Resign)" )+COUNTIF(Input!$AG$3:$AG$22,"=C(Resign)" )</f>
        <v>0</v>
      </c>
      <c r="E108" s="101">
        <f t="array" ref="E108">SUMPRODUCT((IF(Input!$AG$3:$AG$22="M",1,0)+IF(Input!$AG$3:$AG$22="C",1,0)),(IF(Input!$G$3:$G$22="NEDP",1,0)+IF(Input!$G$3:$G$22="EDP",1,0)))</f>
        <v>0</v>
      </c>
      <c r="F108" s="102">
        <f t="array" aca="1" ref="F108" ca="1">SUMPRODUCT(IF(OFFSET(Input!$G$3,0,0,Total_Directors,1)="ID",1,0),(IF(OFFSET(Input!$AG$3,0,0,Total_Directors,1)="C",1,0)+IF(OFFSET(Input!$AG$3,0,0,Total_Directors,1)="M",1,0)))</f>
        <v>0</v>
      </c>
      <c r="G108" s="103" t="str">
        <f>IF(C108=0,"NA",F108/C108)</f>
        <v>NA</v>
      </c>
      <c r="H108" s="104" t="str">
        <f ca="1">IF(C108&lt;&gt;0,OFFSET(Calculations_Sheet!G52,MATCH("C",Input!$AG$3:$AG$22,0),0),"NA")</f>
        <v>NA</v>
      </c>
      <c r="I108" s="102">
        <f t="array" aca="1" ref="I108" ca="1">SUMPRODUCT(IF(OFFSET(Calculations_Sheet!$H$53,0,0,Total_Directors,1)="ID",1,0),IF(OFFSET(Input!$AG$3,0,0,Total_Directors,1)&lt;&gt;"",1,0))</f>
        <v>0</v>
      </c>
      <c r="J108" s="103" t="str">
        <f>IF(C108=0,"NA",I108/C108)</f>
        <v>NA</v>
      </c>
      <c r="K108" s="104" t="str">
        <f t="array" aca="1" ref="K108" ca="1">IF(C108&lt;&gt;0,OFFSET(Calculations_Sheet!H53,MATCH("C",Input!$AG$3:$AG$22,0),0),"NA")</f>
        <v>NA</v>
      </c>
      <c r="L108" s="99" t="str">
        <f t="array" aca="1" ref="L108" ca="1">IF(C108&lt;&gt;0,OFFSET(Input!P3,MATCH("C",LEFT(Input!$AG$3:$AG$22,1),0),0),"NA")</f>
        <v>NA</v>
      </c>
    </row>
  </sheetData>
  <protectedRanges>
    <protectedRange sqref="H5:H9 K5:K9 M5:M9" name="Range4_9"/>
    <protectedRange sqref="H107:H108 K107:K108" name="Range4_9_5"/>
  </protectedRanges>
  <mergeCells count="7">
    <mergeCell ref="I3:K3"/>
    <mergeCell ref="M3:O3"/>
    <mergeCell ref="C3:E3"/>
    <mergeCell ref="F3:H3"/>
    <mergeCell ref="C105:E105"/>
    <mergeCell ref="F105:H105"/>
    <mergeCell ref="I105:K105"/>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14:formula1>
            <xm:f>OFFSET(Input!$B$3,0,0,Total_Directors,1)</xm:f>
          </x14:formula1>
          <xm:sqref>B94:B102 B83:B91 B72:B80 B61:B69</xm:sqref>
        </x14:dataValidation>
        <x14:dataValidation type="list" allowBlank="1" showInputMessage="1" showErrorMessage="1">
          <x14:formula1>
            <xm:f>Calculations_Sheet!$B$27:$Z$27</xm:f>
          </x14:formula1>
          <xm:sqref>D93:O93</xm:sqref>
        </x14:dataValidation>
        <x14:dataValidation type="list" allowBlank="1" showInputMessage="1" showErrorMessage="1">
          <x14:formula1>
            <xm:f>Input!$C$2:$U$2</xm:f>
          </x14:formula1>
          <xm:sqref>C93 C60:D60 C71:J71 N60:Q60</xm:sqref>
        </x14:dataValidation>
      </x14:dataValidations>
    </ex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enableFormatConditionsCalculation="0">
    <tabColor theme="9"/>
  </sheetPr>
  <dimension ref="A1:BZ300"/>
  <sheetViews>
    <sheetView workbookViewId="0">
      <selection sqref="A1:BZ300"/>
    </sheetView>
  </sheetViews>
  <sheetFormatPr baseColWidth="10" defaultColWidth="11" defaultRowHeight="14" x14ac:dyDescent="0"/>
  <cols>
    <col min="1" max="1" width="21.5" customWidth="1"/>
    <col min="3" max="3" width="5.5" customWidth="1"/>
    <col min="4" max="4" width="26.33203125" customWidth="1"/>
    <col min="6" max="6" width="2" customWidth="1"/>
    <col min="7" max="7" width="71.1640625" bestFit="1" customWidth="1"/>
    <col min="8" max="12" width="11.83203125" customWidth="1"/>
    <col min="13" max="13" width="14" bestFit="1" customWidth="1"/>
    <col min="16" max="19" width="19.5" customWidth="1"/>
    <col min="20" max="20" width="2.5" customWidth="1"/>
    <col min="21" max="21" width="19.5" customWidth="1"/>
    <col min="22" max="22" width="15.33203125" customWidth="1"/>
    <col min="23" max="23" width="2.83203125" customWidth="1"/>
  </cols>
  <sheetData>
    <row r="1" spans="1:78">
      <c r="A1" s="245" t="s">
        <v>778</v>
      </c>
      <c r="B1" s="245"/>
      <c r="C1" s="245"/>
      <c r="D1" s="245" t="s">
        <v>779</v>
      </c>
      <c r="E1" s="245"/>
      <c r="F1" s="245"/>
      <c r="G1" s="245" t="s">
        <v>215</v>
      </c>
      <c r="H1" s="245"/>
      <c r="I1" s="245"/>
      <c r="J1" s="245"/>
      <c r="K1" s="245"/>
      <c r="L1" s="245"/>
      <c r="M1" s="245"/>
      <c r="N1" s="245" t="s">
        <v>780</v>
      </c>
      <c r="O1" s="245"/>
      <c r="P1" s="245"/>
      <c r="Q1" s="245"/>
      <c r="R1" s="245"/>
      <c r="S1" s="245"/>
      <c r="T1" s="245"/>
      <c r="U1" s="245" t="s">
        <v>781</v>
      </c>
      <c r="V1" s="245"/>
      <c r="W1" s="245"/>
      <c r="X1" s="245" t="s">
        <v>782</v>
      </c>
      <c r="Y1" s="245"/>
      <c r="Z1" s="245"/>
      <c r="AA1" s="245"/>
      <c r="AB1" s="245"/>
      <c r="AC1" s="245"/>
      <c r="AD1" s="245"/>
      <c r="AE1" s="245"/>
      <c r="AF1" s="245"/>
      <c r="AG1" s="245"/>
      <c r="AH1" s="245"/>
      <c r="AI1" s="245"/>
      <c r="AJ1" s="245"/>
      <c r="AK1" s="245"/>
      <c r="AL1" s="245"/>
      <c r="AM1" s="245"/>
      <c r="AN1" s="245"/>
      <c r="AO1" s="245"/>
      <c r="AP1" s="245"/>
      <c r="AQ1" s="245"/>
      <c r="AR1" s="245"/>
      <c r="AS1" s="245"/>
      <c r="AT1" s="245"/>
      <c r="AU1" s="245"/>
      <c r="AV1" s="245"/>
      <c r="AW1" s="245"/>
      <c r="AX1" s="245"/>
      <c r="AY1" s="245"/>
      <c r="AZ1" s="245"/>
      <c r="BA1" s="245"/>
      <c r="BB1" s="245"/>
      <c r="BC1" s="245"/>
      <c r="BD1" s="245"/>
      <c r="BE1" s="245"/>
      <c r="BF1" s="245"/>
      <c r="BG1" s="245"/>
      <c r="BH1" s="245"/>
      <c r="BI1" s="245"/>
      <c r="BJ1" s="245"/>
      <c r="BK1" s="245"/>
      <c r="BL1" s="245"/>
      <c r="BM1" s="245"/>
      <c r="BN1" s="245"/>
      <c r="BO1" s="245"/>
      <c r="BP1" s="245"/>
      <c r="BQ1" s="245"/>
      <c r="BR1" s="245"/>
      <c r="BS1" s="245"/>
      <c r="BT1" s="245"/>
      <c r="BU1" s="245"/>
      <c r="BV1" s="245"/>
      <c r="BW1" s="245"/>
      <c r="BX1" s="245"/>
      <c r="BY1" s="245"/>
      <c r="BZ1" s="245"/>
    </row>
    <row r="2" spans="1:78">
      <c r="A2" s="1"/>
      <c r="B2" s="1"/>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row>
    <row r="3" spans="1:78">
      <c r="A3" s="249" t="s">
        <v>226</v>
      </c>
      <c r="B3" s="249" t="s">
        <v>130</v>
      </c>
      <c r="C3" s="1"/>
      <c r="D3" s="249" t="s">
        <v>226</v>
      </c>
      <c r="E3" s="249" t="s">
        <v>130</v>
      </c>
      <c r="F3" s="1"/>
      <c r="G3" s="141"/>
      <c r="H3" s="141"/>
      <c r="I3" s="141"/>
      <c r="J3" s="141"/>
      <c r="K3" s="141"/>
      <c r="L3" s="141"/>
      <c r="M3" s="1"/>
      <c r="N3" s="141" t="s">
        <v>783</v>
      </c>
      <c r="O3" s="141"/>
      <c r="P3" s="141"/>
      <c r="Q3" s="141"/>
      <c r="R3" s="141" t="str">
        <f>B110</f>
        <v>ACC</v>
      </c>
      <c r="S3" s="141" t="str">
        <f>B119</f>
        <v>AMBUJACEM</v>
      </c>
      <c r="T3" s="1"/>
      <c r="U3" s="1"/>
      <c r="V3" s="1"/>
      <c r="W3" s="1"/>
      <c r="X3" s="141" t="s">
        <v>783</v>
      </c>
      <c r="Y3" s="141"/>
      <c r="Z3" s="141"/>
      <c r="AA3" s="141"/>
      <c r="AB3" s="1"/>
      <c r="AC3" s="141" t="s">
        <v>784</v>
      </c>
      <c r="AD3" s="141" t="s">
        <v>785</v>
      </c>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row>
    <row r="4" spans="1:78">
      <c r="A4" s="141" t="s">
        <v>1424</v>
      </c>
      <c r="B4" s="141">
        <v>2.17</v>
      </c>
      <c r="C4" s="1"/>
      <c r="D4" s="141" t="s">
        <v>1425</v>
      </c>
      <c r="E4" s="141">
        <v>0</v>
      </c>
      <c r="F4" s="1"/>
      <c r="G4" s="141"/>
      <c r="H4" s="41" t="s">
        <v>1405</v>
      </c>
      <c r="I4" s="41" t="s">
        <v>1406</v>
      </c>
      <c r="J4" s="41" t="s">
        <v>1407</v>
      </c>
      <c r="K4" s="41" t="s">
        <v>1408</v>
      </c>
      <c r="L4" s="41" t="s">
        <v>1409</v>
      </c>
      <c r="M4" s="1"/>
      <c r="N4" s="141"/>
      <c r="O4" s="141" t="s">
        <v>786</v>
      </c>
      <c r="P4" s="141" t="s">
        <v>786</v>
      </c>
      <c r="Q4" s="141" t="s">
        <v>786</v>
      </c>
      <c r="R4" s="141" t="s">
        <v>1305</v>
      </c>
      <c r="S4" s="141" t="s">
        <v>786</v>
      </c>
      <c r="T4" s="1"/>
      <c r="U4" s="141" t="s">
        <v>1426</v>
      </c>
      <c r="V4" s="141" t="s">
        <v>1313</v>
      </c>
      <c r="W4" s="1"/>
      <c r="X4" s="141"/>
      <c r="Y4" s="141"/>
      <c r="Z4" s="141"/>
      <c r="AA4" s="141"/>
      <c r="AB4" s="1"/>
      <c r="AC4" s="141"/>
      <c r="AD4" s="14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row>
    <row r="5" spans="1:78">
      <c r="A5" s="141" t="s">
        <v>1427</v>
      </c>
      <c r="B5" s="141">
        <v>1.41</v>
      </c>
      <c r="C5" s="1"/>
      <c r="D5" s="141" t="s">
        <v>1428</v>
      </c>
      <c r="E5" s="141">
        <v>0</v>
      </c>
      <c r="F5" s="1"/>
      <c r="G5" s="141"/>
      <c r="H5" s="41" t="s">
        <v>1410</v>
      </c>
      <c r="I5" s="41" t="s">
        <v>1411</v>
      </c>
      <c r="J5" s="41" t="s">
        <v>1412</v>
      </c>
      <c r="K5" s="41" t="s">
        <v>1413</v>
      </c>
      <c r="L5" s="41" t="s">
        <v>1414</v>
      </c>
      <c r="M5" s="1"/>
      <c r="N5" s="141" t="s">
        <v>1314</v>
      </c>
      <c r="O5" s="141">
        <v>2015</v>
      </c>
      <c r="P5" s="141">
        <v>2014</v>
      </c>
      <c r="Q5" s="141">
        <v>2013</v>
      </c>
      <c r="R5" s="141">
        <v>2014</v>
      </c>
      <c r="S5" s="141">
        <v>2014</v>
      </c>
      <c r="T5" s="1"/>
      <c r="U5" s="141" t="s">
        <v>1429</v>
      </c>
      <c r="V5" s="141" t="s">
        <v>1430</v>
      </c>
      <c r="W5" s="1"/>
      <c r="X5" s="141"/>
      <c r="Y5" s="141"/>
      <c r="Z5" s="141"/>
      <c r="AA5" s="141"/>
      <c r="AB5" s="1"/>
      <c r="AC5" s="141"/>
      <c r="AD5" s="14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row>
    <row r="6" spans="1:78">
      <c r="A6" s="141" t="s">
        <v>1431</v>
      </c>
      <c r="B6" s="141">
        <v>1.17</v>
      </c>
      <c r="C6" s="1"/>
      <c r="D6" s="141" t="s">
        <v>1432</v>
      </c>
      <c r="E6" s="141">
        <v>60.25</v>
      </c>
      <c r="F6" s="1"/>
      <c r="G6" s="141" t="s">
        <v>884</v>
      </c>
      <c r="H6" s="141"/>
      <c r="I6" s="141"/>
      <c r="J6" s="141"/>
      <c r="K6" s="141"/>
      <c r="L6" s="141"/>
      <c r="M6" s="1"/>
      <c r="N6" s="141" t="s">
        <v>887</v>
      </c>
      <c r="O6" s="141"/>
      <c r="P6" s="141"/>
      <c r="Q6" s="141"/>
      <c r="R6" s="141"/>
      <c r="S6" s="141"/>
      <c r="T6" s="1"/>
      <c r="U6" s="141" t="s">
        <v>1433</v>
      </c>
      <c r="V6" s="141" t="s">
        <v>1434</v>
      </c>
      <c r="W6" s="1"/>
      <c r="X6" s="141"/>
      <c r="Y6" s="141"/>
      <c r="Z6" s="141"/>
      <c r="AA6" s="141"/>
      <c r="AB6" s="1"/>
      <c r="AC6" s="141"/>
      <c r="AD6" s="14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row>
    <row r="7" spans="1:78">
      <c r="A7" s="141" t="s">
        <v>1435</v>
      </c>
      <c r="B7" s="141">
        <v>1.36</v>
      </c>
      <c r="C7" s="1"/>
      <c r="D7" s="141" t="s">
        <v>1436</v>
      </c>
      <c r="E7" s="141">
        <v>0.02</v>
      </c>
      <c r="F7" s="1"/>
      <c r="G7" s="141" t="s">
        <v>886</v>
      </c>
      <c r="H7" s="141"/>
      <c r="I7" s="141"/>
      <c r="J7" s="141"/>
      <c r="K7" s="141"/>
      <c r="L7" s="141"/>
      <c r="M7" s="1"/>
      <c r="N7" s="141" t="s">
        <v>220</v>
      </c>
      <c r="O7" s="141">
        <v>22936.17</v>
      </c>
      <c r="P7" s="141">
        <v>20279.8</v>
      </c>
      <c r="Q7" s="141">
        <v>20174.939999999999</v>
      </c>
      <c r="R7" s="141">
        <v>11738.21</v>
      </c>
      <c r="S7" s="141">
        <v>9978.1200000000008</v>
      </c>
      <c r="T7" s="1"/>
      <c r="U7" s="141" t="s">
        <v>1437</v>
      </c>
      <c r="V7" s="141" t="s">
        <v>1438</v>
      </c>
      <c r="W7" s="1"/>
      <c r="X7" s="141"/>
      <c r="Y7" s="141"/>
      <c r="Z7" s="141"/>
      <c r="AA7" s="141"/>
      <c r="AB7" s="1"/>
      <c r="AC7" s="141"/>
      <c r="AD7" s="14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row>
    <row r="8" spans="1:78">
      <c r="A8" s="141" t="s">
        <v>882</v>
      </c>
      <c r="B8" s="141">
        <v>6.12</v>
      </c>
      <c r="C8" s="1"/>
      <c r="D8" s="141" t="s">
        <v>1439</v>
      </c>
      <c r="E8" s="141">
        <v>0</v>
      </c>
      <c r="F8" s="1"/>
      <c r="G8" s="141" t="s">
        <v>1440</v>
      </c>
      <c r="H8" s="141">
        <v>0.03</v>
      </c>
      <c r="I8" s="141">
        <v>0.03</v>
      </c>
      <c r="J8" s="141">
        <v>0.03</v>
      </c>
      <c r="K8" s="141">
        <v>0.03</v>
      </c>
      <c r="L8" s="141"/>
      <c r="M8" s="1"/>
      <c r="N8" s="141" t="s">
        <v>222</v>
      </c>
      <c r="O8" s="141">
        <v>371.78</v>
      </c>
      <c r="P8" s="141">
        <v>329.04</v>
      </c>
      <c r="Q8" s="141">
        <v>305</v>
      </c>
      <c r="R8" s="141">
        <v>268.27999999999997</v>
      </c>
      <c r="S8" s="141">
        <v>428.98</v>
      </c>
      <c r="T8" s="1"/>
      <c r="U8" s="141" t="s">
        <v>1441</v>
      </c>
      <c r="V8" s="141" t="s">
        <v>1442</v>
      </c>
      <c r="W8" s="1"/>
      <c r="X8" s="141"/>
      <c r="Y8" s="141"/>
      <c r="Z8" s="141"/>
      <c r="AA8" s="141"/>
      <c r="AB8" s="1"/>
      <c r="AC8" s="141"/>
      <c r="AD8" s="14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row>
    <row r="9" spans="1:78">
      <c r="A9" s="141"/>
      <c r="B9" s="141"/>
      <c r="C9" s="1"/>
      <c r="D9" s="141" t="s">
        <v>1443</v>
      </c>
      <c r="E9" s="141">
        <v>0</v>
      </c>
      <c r="F9" s="1"/>
      <c r="G9" s="141" t="s">
        <v>888</v>
      </c>
      <c r="H9" s="141">
        <v>61.66</v>
      </c>
      <c r="I9" s="141">
        <v>61.7</v>
      </c>
      <c r="J9" s="141">
        <v>61.98</v>
      </c>
      <c r="K9" s="141">
        <v>63.32</v>
      </c>
      <c r="L9" s="141"/>
      <c r="M9" s="1"/>
      <c r="N9" s="141" t="s">
        <v>223</v>
      </c>
      <c r="O9" s="141">
        <v>23307.95</v>
      </c>
      <c r="P9" s="141">
        <v>20608.84</v>
      </c>
      <c r="Q9" s="141">
        <v>20479.939999999999</v>
      </c>
      <c r="R9" s="141">
        <v>12006.49</v>
      </c>
      <c r="S9" s="141">
        <v>10407.1</v>
      </c>
      <c r="T9" s="1"/>
      <c r="U9" s="141" t="s">
        <v>1444</v>
      </c>
      <c r="V9" s="141" t="s">
        <v>1438</v>
      </c>
      <c r="W9" s="1"/>
      <c r="X9" s="141"/>
      <c r="Y9" s="141"/>
      <c r="Z9" s="141"/>
      <c r="AA9" s="141"/>
      <c r="AB9" s="1"/>
      <c r="AC9" s="141"/>
      <c r="AD9" s="14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row>
    <row r="10" spans="1:78">
      <c r="A10" s="141"/>
      <c r="B10" s="141"/>
      <c r="C10" s="1"/>
      <c r="D10" s="141" t="s">
        <v>1445</v>
      </c>
      <c r="E10" s="141">
        <v>0.28999999999999998</v>
      </c>
      <c r="F10" s="1"/>
      <c r="G10" s="141" t="s">
        <v>889</v>
      </c>
      <c r="H10" s="141">
        <v>61.69</v>
      </c>
      <c r="I10" s="141">
        <v>61.73</v>
      </c>
      <c r="J10" s="141">
        <v>62.01</v>
      </c>
      <c r="K10" s="141">
        <v>63.34</v>
      </c>
      <c r="L10" s="141"/>
      <c r="M10" s="1"/>
      <c r="N10" s="141" t="s">
        <v>892</v>
      </c>
      <c r="O10" s="141">
        <v>-18741.14</v>
      </c>
      <c r="P10" s="141">
        <v>-16461.900000000001</v>
      </c>
      <c r="Q10" s="141">
        <v>-15499.46</v>
      </c>
      <c r="R10" s="141">
        <v>-10230.950000000001</v>
      </c>
      <c r="S10" s="141">
        <v>-8049.68</v>
      </c>
      <c r="T10" s="1"/>
      <c r="U10" s="141" t="s">
        <v>1446</v>
      </c>
      <c r="V10" s="141" t="s">
        <v>1438</v>
      </c>
      <c r="W10" s="1"/>
      <c r="X10" s="141"/>
      <c r="Y10" s="141"/>
      <c r="Z10" s="141"/>
      <c r="AA10" s="141"/>
      <c r="AB10" s="1"/>
      <c r="AC10" s="141"/>
      <c r="AD10" s="14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row>
    <row r="11" spans="1:78">
      <c r="A11" s="141"/>
      <c r="B11" s="141"/>
      <c r="C11" s="1"/>
      <c r="D11" s="141" t="s">
        <v>1447</v>
      </c>
      <c r="E11" s="141">
        <v>0</v>
      </c>
      <c r="F11" s="1"/>
      <c r="G11" s="141" t="s">
        <v>890</v>
      </c>
      <c r="H11" s="141"/>
      <c r="I11" s="141"/>
      <c r="J11" s="141"/>
      <c r="K11" s="141"/>
      <c r="L11" s="141"/>
      <c r="M11" s="1"/>
      <c r="N11" s="141" t="s">
        <v>894</v>
      </c>
      <c r="O11" s="141">
        <v>-547.45000000000005</v>
      </c>
      <c r="P11" s="141">
        <v>-319.17</v>
      </c>
      <c r="Q11" s="141">
        <v>-209.71</v>
      </c>
      <c r="R11" s="141">
        <v>-82.76</v>
      </c>
      <c r="S11" s="141">
        <v>-64.48</v>
      </c>
      <c r="T11" s="1"/>
      <c r="U11" s="141"/>
      <c r="V11" s="141"/>
      <c r="W11" s="1"/>
      <c r="X11" s="141"/>
      <c r="Y11" s="141"/>
      <c r="Z11" s="141"/>
      <c r="AA11" s="141"/>
      <c r="AB11" s="1"/>
      <c r="AC11" s="141"/>
      <c r="AD11" s="14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row>
    <row r="12" spans="1:78">
      <c r="A12" s="141"/>
      <c r="B12" s="141"/>
      <c r="C12" s="1"/>
      <c r="D12" s="141" t="s">
        <v>1448</v>
      </c>
      <c r="E12" s="141">
        <v>0.64</v>
      </c>
      <c r="F12" s="1"/>
      <c r="G12" s="141" t="s">
        <v>891</v>
      </c>
      <c r="H12" s="141">
        <v>61.69</v>
      </c>
      <c r="I12" s="141">
        <v>61.73</v>
      </c>
      <c r="J12" s="141">
        <v>62.01</v>
      </c>
      <c r="K12" s="141">
        <v>63.34</v>
      </c>
      <c r="L12" s="141"/>
      <c r="M12" s="1"/>
      <c r="N12" s="141" t="s">
        <v>787</v>
      </c>
      <c r="O12" s="141">
        <v>4019.36</v>
      </c>
      <c r="P12" s="141">
        <v>3827.77</v>
      </c>
      <c r="Q12" s="141">
        <v>4770.7700000000004</v>
      </c>
      <c r="R12" s="141">
        <v>1692.78</v>
      </c>
      <c r="S12" s="141">
        <v>2292.94</v>
      </c>
      <c r="T12" s="1"/>
      <c r="U12" s="141" t="s">
        <v>1304</v>
      </c>
      <c r="V12" s="141"/>
      <c r="W12" s="1"/>
      <c r="X12" s="141"/>
      <c r="Y12" s="141"/>
      <c r="Z12" s="141"/>
      <c r="AA12" s="141"/>
      <c r="AB12" s="1"/>
      <c r="AC12" s="141"/>
      <c r="AD12" s="14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row>
    <row r="13" spans="1:78">
      <c r="A13" s="141"/>
      <c r="B13" s="141"/>
      <c r="C13" s="1"/>
      <c r="D13" s="141" t="s">
        <v>1449</v>
      </c>
      <c r="E13" s="141">
        <v>0.48</v>
      </c>
      <c r="F13" s="1"/>
      <c r="G13" s="141" t="s">
        <v>893</v>
      </c>
      <c r="H13" s="141"/>
      <c r="I13" s="141"/>
      <c r="J13" s="141"/>
      <c r="K13" s="141"/>
      <c r="L13" s="141"/>
      <c r="M13" s="1"/>
      <c r="N13" s="141" t="s">
        <v>897</v>
      </c>
      <c r="O13" s="141">
        <v>-1133.1099999999999</v>
      </c>
      <c r="P13" s="141">
        <v>-1052.26</v>
      </c>
      <c r="Q13" s="141">
        <v>-945.37</v>
      </c>
      <c r="R13" s="141">
        <v>-557.58000000000004</v>
      </c>
      <c r="S13" s="141">
        <v>-509.53</v>
      </c>
      <c r="T13" s="1"/>
      <c r="U13" s="141" t="s">
        <v>1450</v>
      </c>
      <c r="V13" s="141"/>
      <c r="W13" s="1"/>
      <c r="X13" s="141"/>
      <c r="Y13" s="141"/>
      <c r="Z13" s="141"/>
      <c r="AA13" s="141"/>
      <c r="AB13" s="1"/>
      <c r="AC13" s="141"/>
      <c r="AD13" s="14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row>
    <row r="14" spans="1:78">
      <c r="A14" s="141"/>
      <c r="B14" s="141"/>
      <c r="C14" s="1"/>
      <c r="D14" s="141" t="s">
        <v>1451</v>
      </c>
      <c r="E14" s="141">
        <v>0</v>
      </c>
      <c r="F14" s="1"/>
      <c r="G14" s="141" t="s">
        <v>895</v>
      </c>
      <c r="H14" s="141"/>
      <c r="I14" s="141"/>
      <c r="J14" s="141"/>
      <c r="K14" s="141"/>
      <c r="L14" s="141"/>
      <c r="M14" s="1"/>
      <c r="N14" s="141" t="s">
        <v>899</v>
      </c>
      <c r="O14" s="141">
        <v>2886.25</v>
      </c>
      <c r="P14" s="141">
        <v>2775.51</v>
      </c>
      <c r="Q14" s="141">
        <v>3825.4</v>
      </c>
      <c r="R14" s="141">
        <v>1135.2</v>
      </c>
      <c r="S14" s="141">
        <v>1783.41</v>
      </c>
      <c r="T14" s="1"/>
      <c r="U14" s="141" t="s">
        <v>883</v>
      </c>
      <c r="V14" s="141" t="s">
        <v>1452</v>
      </c>
      <c r="W14" s="1"/>
      <c r="X14" s="141"/>
      <c r="Y14" s="141"/>
      <c r="Z14" s="141"/>
      <c r="AA14" s="141"/>
      <c r="AB14" s="1"/>
      <c r="AC14" s="141"/>
      <c r="AD14" s="14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row>
    <row r="15" spans="1:78">
      <c r="A15" s="141"/>
      <c r="B15" s="141"/>
      <c r="C15" s="1"/>
      <c r="D15" s="141" t="s">
        <v>1453</v>
      </c>
      <c r="E15" s="141">
        <v>0</v>
      </c>
      <c r="F15" s="1"/>
      <c r="G15" s="141" t="s">
        <v>896</v>
      </c>
      <c r="H15" s="141">
        <v>2.86</v>
      </c>
      <c r="I15" s="141">
        <v>1.33</v>
      </c>
      <c r="J15" s="141">
        <v>1.25</v>
      </c>
      <c r="K15" s="141">
        <v>1.49</v>
      </c>
      <c r="L15" s="141"/>
      <c r="M15" s="1"/>
      <c r="N15" s="141" t="s">
        <v>901</v>
      </c>
      <c r="O15" s="141">
        <v>-871.52</v>
      </c>
      <c r="P15" s="141">
        <v>-631.04</v>
      </c>
      <c r="Q15" s="141">
        <v>-1169.97</v>
      </c>
      <c r="R15" s="141">
        <v>33.090000000000003</v>
      </c>
      <c r="S15" s="141">
        <v>-287.05</v>
      </c>
      <c r="T15" s="1"/>
      <c r="U15" s="141" t="s">
        <v>885</v>
      </c>
      <c r="V15" s="141" t="s">
        <v>1454</v>
      </c>
      <c r="W15" s="1"/>
      <c r="X15" s="141"/>
      <c r="Y15" s="141"/>
      <c r="Z15" s="141"/>
      <c r="AA15" s="141"/>
      <c r="AB15" s="1"/>
      <c r="AC15" s="141"/>
      <c r="AD15" s="14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row>
    <row r="16" spans="1:78">
      <c r="A16" s="141"/>
      <c r="B16" s="141"/>
      <c r="C16" s="1"/>
      <c r="D16" s="141" t="s">
        <v>1455</v>
      </c>
      <c r="E16" s="141">
        <v>0</v>
      </c>
      <c r="F16" s="1"/>
      <c r="G16" s="141" t="s">
        <v>898</v>
      </c>
      <c r="H16" s="141">
        <v>0.14000000000000001</v>
      </c>
      <c r="I16" s="141">
        <v>0.02</v>
      </c>
      <c r="J16" s="141">
        <v>0.02</v>
      </c>
      <c r="K16" s="141">
        <v>0.04</v>
      </c>
      <c r="L16" s="141" t="s">
        <v>1415</v>
      </c>
      <c r="M16" s="1"/>
      <c r="N16" s="141" t="s">
        <v>788</v>
      </c>
      <c r="O16" s="141">
        <v>2014.73</v>
      </c>
      <c r="P16" s="141">
        <v>2144.4699999999998</v>
      </c>
      <c r="Q16" s="141">
        <v>2655.43</v>
      </c>
      <c r="R16" s="141">
        <v>1168.29</v>
      </c>
      <c r="S16" s="141">
        <v>1496.36</v>
      </c>
      <c r="T16" s="1"/>
      <c r="U16" s="141" t="s">
        <v>1315</v>
      </c>
      <c r="V16" s="141" t="s">
        <v>1456</v>
      </c>
      <c r="W16" s="1"/>
      <c r="X16" s="141"/>
      <c r="Y16" s="141"/>
      <c r="Z16" s="141"/>
      <c r="AA16" s="141"/>
      <c r="AB16" s="1"/>
      <c r="AC16" s="141"/>
      <c r="AD16" s="14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row>
    <row r="17" spans="1:78">
      <c r="A17" s="141"/>
      <c r="B17" s="141"/>
      <c r="C17" s="1"/>
      <c r="D17" s="141" t="s">
        <v>882</v>
      </c>
      <c r="E17" s="141">
        <v>61.69</v>
      </c>
      <c r="F17" s="1"/>
      <c r="G17" s="141" t="s">
        <v>1457</v>
      </c>
      <c r="H17" s="141">
        <v>0.05</v>
      </c>
      <c r="I17" s="141">
        <v>0.03</v>
      </c>
      <c r="J17" s="141">
        <v>0.03</v>
      </c>
      <c r="K17" s="141">
        <v>3.92</v>
      </c>
      <c r="L17" s="141"/>
      <c r="M17" s="1"/>
      <c r="N17" s="141" t="s">
        <v>903</v>
      </c>
      <c r="O17" s="141">
        <v>274.39999999999998</v>
      </c>
      <c r="P17" s="141">
        <v>274.24</v>
      </c>
      <c r="Q17" s="141">
        <v>274.18</v>
      </c>
      <c r="R17" s="141">
        <v>187.95</v>
      </c>
      <c r="S17" s="141">
        <v>309.95</v>
      </c>
      <c r="T17" s="1"/>
      <c r="U17" s="141"/>
      <c r="V17" s="141"/>
      <c r="W17" s="1"/>
      <c r="X17" s="141"/>
      <c r="Y17" s="141"/>
      <c r="Z17" s="141"/>
      <c r="AA17" s="141"/>
      <c r="AB17" s="1"/>
      <c r="AC17" s="141"/>
      <c r="AD17" s="14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row>
    <row r="18" spans="1:78">
      <c r="A18" s="141"/>
      <c r="B18" s="141"/>
      <c r="C18" s="1"/>
      <c r="D18" s="141"/>
      <c r="E18" s="141"/>
      <c r="F18" s="1"/>
      <c r="G18" s="141" t="s">
        <v>1458</v>
      </c>
      <c r="H18" s="141">
        <v>2.82</v>
      </c>
      <c r="I18" s="141">
        <v>3.53</v>
      </c>
      <c r="J18" s="141">
        <v>3.32</v>
      </c>
      <c r="K18" s="141">
        <v>17.739999999999998</v>
      </c>
      <c r="L18" s="141"/>
      <c r="M18" s="1"/>
      <c r="N18" s="141" t="s">
        <v>789</v>
      </c>
      <c r="O18" s="141">
        <v>73.44</v>
      </c>
      <c r="P18" s="141">
        <v>78.209999999999994</v>
      </c>
      <c r="Q18" s="141">
        <v>96.87</v>
      </c>
      <c r="R18" s="141">
        <v>62.23</v>
      </c>
      <c r="S18" s="141">
        <v>9.67</v>
      </c>
      <c r="T18" s="1"/>
      <c r="U18" s="141"/>
      <c r="V18" s="141"/>
      <c r="W18" s="1"/>
      <c r="X18" s="141"/>
      <c r="Y18" s="141"/>
      <c r="Z18" s="141"/>
      <c r="AA18" s="141"/>
      <c r="AB18" s="1"/>
      <c r="AC18" s="141"/>
      <c r="AD18" s="14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row>
    <row r="19" spans="1:78">
      <c r="A19" s="141"/>
      <c r="B19" s="141"/>
      <c r="C19" s="1"/>
      <c r="D19" s="141"/>
      <c r="E19" s="141"/>
      <c r="F19" s="1"/>
      <c r="G19" s="141" t="s">
        <v>900</v>
      </c>
      <c r="H19" s="141">
        <v>19.32</v>
      </c>
      <c r="I19" s="141">
        <v>20.95</v>
      </c>
      <c r="J19" s="141">
        <v>20.64</v>
      </c>
      <c r="K19" s="141">
        <v>23.19</v>
      </c>
      <c r="L19" s="141"/>
      <c r="M19" s="1"/>
      <c r="N19" s="141" t="s">
        <v>905</v>
      </c>
      <c r="O19" s="141">
        <v>114.72</v>
      </c>
      <c r="P19" s="141">
        <v>116.57</v>
      </c>
      <c r="Q19" s="141">
        <v>131.33000000000001</v>
      </c>
      <c r="R19" s="141">
        <v>91.83</v>
      </c>
      <c r="S19" s="141">
        <v>12.94</v>
      </c>
      <c r="T19" s="1"/>
      <c r="U19" s="141"/>
      <c r="V19" s="141"/>
      <c r="W19" s="1"/>
      <c r="X19" s="141"/>
      <c r="Y19" s="141"/>
      <c r="Z19" s="141"/>
      <c r="AA19" s="141"/>
      <c r="AB19" s="1"/>
      <c r="AC19" s="141"/>
      <c r="AD19" s="14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row>
    <row r="20" spans="1:78">
      <c r="A20" s="141"/>
      <c r="B20" s="141"/>
      <c r="C20" s="1"/>
      <c r="D20" s="141"/>
      <c r="E20" s="141"/>
      <c r="F20" s="1"/>
      <c r="G20" s="141" t="s">
        <v>889</v>
      </c>
      <c r="H20" s="141">
        <v>25.18</v>
      </c>
      <c r="I20" s="141">
        <v>25.86</v>
      </c>
      <c r="J20" s="141">
        <v>25.26</v>
      </c>
      <c r="K20" s="141"/>
      <c r="L20" s="141">
        <v>0.03</v>
      </c>
      <c r="M20" s="1"/>
      <c r="N20" s="141" t="s">
        <v>790</v>
      </c>
      <c r="O20" s="141">
        <v>19.91</v>
      </c>
      <c r="P20" s="141">
        <v>20.45</v>
      </c>
      <c r="Q20" s="141">
        <v>24.69</v>
      </c>
      <c r="R20" s="141">
        <v>15.13</v>
      </c>
      <c r="S20" s="141">
        <v>23.63</v>
      </c>
      <c r="T20" s="1"/>
      <c r="U20" s="141"/>
      <c r="V20" s="141"/>
      <c r="W20" s="1"/>
      <c r="X20" s="141"/>
      <c r="Y20" s="141"/>
      <c r="Z20" s="141"/>
      <c r="AA20" s="141"/>
      <c r="AB20" s="1"/>
      <c r="AC20" s="141"/>
      <c r="AD20" s="14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row>
    <row r="21" spans="1:78">
      <c r="A21" s="141"/>
      <c r="B21" s="141"/>
      <c r="C21" s="1"/>
      <c r="D21" s="141"/>
      <c r="E21" s="141"/>
      <c r="F21" s="1"/>
      <c r="G21" s="141" t="s">
        <v>902</v>
      </c>
      <c r="H21" s="141"/>
      <c r="I21" s="141"/>
      <c r="J21" s="141"/>
      <c r="K21" s="141">
        <v>3.64</v>
      </c>
      <c r="L21" s="141">
        <v>63.32</v>
      </c>
      <c r="M21" s="1"/>
      <c r="N21" s="141" t="s">
        <v>822</v>
      </c>
      <c r="O21" s="141">
        <v>8.7799999999999994</v>
      </c>
      <c r="P21" s="141">
        <v>10.57</v>
      </c>
      <c r="Q21" s="141">
        <v>13.16</v>
      </c>
      <c r="R21" s="141">
        <v>9.9499999999999993</v>
      </c>
      <c r="S21" s="141">
        <v>15</v>
      </c>
      <c r="T21" s="1"/>
      <c r="U21" s="141"/>
      <c r="V21" s="141"/>
      <c r="W21" s="1"/>
      <c r="X21" s="141"/>
      <c r="Y21" s="141"/>
      <c r="Z21" s="141"/>
      <c r="AA21" s="141"/>
      <c r="AB21" s="1"/>
      <c r="AC21" s="141"/>
      <c r="AD21" s="14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row>
    <row r="22" spans="1:78">
      <c r="A22" s="141"/>
      <c r="B22" s="141"/>
      <c r="C22" s="1"/>
      <c r="D22" s="141"/>
      <c r="E22" s="141"/>
      <c r="F22" s="1"/>
      <c r="G22" s="141" t="s">
        <v>888</v>
      </c>
      <c r="H22" s="141">
        <v>4.66</v>
      </c>
      <c r="I22" s="141">
        <v>3.74</v>
      </c>
      <c r="J22" s="141">
        <v>3.4</v>
      </c>
      <c r="K22" s="141"/>
      <c r="L22" s="141">
        <v>63.35</v>
      </c>
      <c r="M22" s="1"/>
      <c r="N22" s="141"/>
      <c r="O22" s="141" t="s">
        <v>909</v>
      </c>
      <c r="P22" s="141" t="s">
        <v>909</v>
      </c>
      <c r="Q22" s="141" t="s">
        <v>909</v>
      </c>
      <c r="R22" s="141" t="s">
        <v>909</v>
      </c>
      <c r="S22" s="141" t="s">
        <v>909</v>
      </c>
      <c r="T22" s="1"/>
      <c r="U22" s="141"/>
      <c r="V22" s="141"/>
      <c r="W22" s="1"/>
      <c r="X22" s="141"/>
      <c r="Y22" s="141"/>
      <c r="Z22" s="141"/>
      <c r="AA22" s="141"/>
      <c r="AB22" s="1"/>
      <c r="AC22" s="141"/>
      <c r="AD22" s="14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row>
    <row r="23" spans="1:78">
      <c r="A23" s="141"/>
      <c r="B23" s="141"/>
      <c r="C23" s="1"/>
      <c r="D23" s="141"/>
      <c r="E23" s="141"/>
      <c r="F23" s="1"/>
      <c r="G23" s="141" t="s">
        <v>904</v>
      </c>
      <c r="H23" s="141"/>
      <c r="I23" s="141"/>
      <c r="J23" s="141"/>
      <c r="K23" s="141">
        <v>6.54</v>
      </c>
      <c r="L23" s="141"/>
      <c r="M23" s="1"/>
      <c r="N23" s="141"/>
      <c r="O23" s="141" t="s">
        <v>1316</v>
      </c>
      <c r="P23" s="141" t="s">
        <v>1316</v>
      </c>
      <c r="Q23" s="141" t="s">
        <v>1316</v>
      </c>
      <c r="R23" s="141" t="s">
        <v>1316</v>
      </c>
      <c r="S23" s="141" t="s">
        <v>1316</v>
      </c>
      <c r="T23" s="1"/>
      <c r="U23" s="141"/>
      <c r="V23" s="141"/>
      <c r="W23" s="1"/>
      <c r="X23" s="141"/>
      <c r="Y23" s="141"/>
      <c r="Z23" s="141"/>
      <c r="AA23" s="141"/>
      <c r="AB23" s="1"/>
      <c r="AC23" s="141"/>
      <c r="AD23" s="14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row>
    <row r="24" spans="1:78">
      <c r="A24" s="141"/>
      <c r="B24" s="141"/>
      <c r="C24" s="1"/>
      <c r="D24" s="141"/>
      <c r="E24" s="141"/>
      <c r="F24" s="1"/>
      <c r="G24" s="141" t="s">
        <v>906</v>
      </c>
      <c r="H24" s="141">
        <v>5.84</v>
      </c>
      <c r="I24" s="141">
        <v>5.89</v>
      </c>
      <c r="J24" s="141">
        <v>6.19</v>
      </c>
      <c r="K24" s="141">
        <v>0.41</v>
      </c>
      <c r="L24" s="141">
        <v>63.35</v>
      </c>
      <c r="M24" s="1"/>
      <c r="N24" s="141"/>
      <c r="O24" s="141"/>
      <c r="P24" s="141"/>
      <c r="Q24" s="141"/>
      <c r="R24" s="141"/>
      <c r="S24" s="141"/>
      <c r="T24" s="1"/>
      <c r="U24" s="141"/>
      <c r="V24" s="141"/>
      <c r="W24" s="1"/>
      <c r="X24" s="141"/>
      <c r="Y24" s="141"/>
      <c r="Z24" s="141"/>
      <c r="AA24" s="141"/>
      <c r="AB24" s="1"/>
      <c r="AC24" s="141"/>
      <c r="AD24" s="14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row>
    <row r="25" spans="1:78">
      <c r="A25" s="141"/>
      <c r="B25" s="141"/>
      <c r="C25" s="1"/>
      <c r="D25" s="141"/>
      <c r="E25" s="141"/>
      <c r="F25" s="1"/>
      <c r="G25" s="141" t="s">
        <v>907</v>
      </c>
      <c r="H25" s="141">
        <v>0.05</v>
      </c>
      <c r="I25" s="141">
        <v>0.17</v>
      </c>
      <c r="J25" s="141">
        <v>0.34</v>
      </c>
      <c r="K25" s="141">
        <v>0.86</v>
      </c>
      <c r="L25" s="141"/>
      <c r="M25" s="1"/>
      <c r="N25" s="141"/>
      <c r="O25" s="141"/>
      <c r="P25" s="141"/>
      <c r="Q25" s="141"/>
      <c r="R25" s="141"/>
      <c r="S25" s="141"/>
      <c r="T25" s="1"/>
      <c r="U25" s="141"/>
      <c r="V25" s="141"/>
      <c r="W25" s="1"/>
      <c r="X25" s="141"/>
      <c r="Y25" s="141"/>
      <c r="Z25" s="141"/>
      <c r="AA25" s="141"/>
      <c r="AB25" s="1"/>
      <c r="AC25" s="141"/>
      <c r="AD25" s="14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row>
    <row r="26" spans="1:78">
      <c r="A26" s="141"/>
      <c r="B26" s="141"/>
      <c r="C26" s="1"/>
      <c r="D26" s="141"/>
      <c r="E26" s="141"/>
      <c r="F26" s="1"/>
      <c r="G26" s="141" t="s">
        <v>908</v>
      </c>
      <c r="H26" s="141">
        <v>0.83</v>
      </c>
      <c r="I26" s="141">
        <v>0</v>
      </c>
      <c r="J26" s="141">
        <v>0.83</v>
      </c>
      <c r="K26" s="141">
        <v>0.3</v>
      </c>
      <c r="L26" s="141"/>
      <c r="M26" s="1"/>
      <c r="N26" s="141"/>
      <c r="O26" s="141"/>
      <c r="P26" s="141"/>
      <c r="Q26" s="141"/>
      <c r="R26" s="141"/>
      <c r="S26" s="141"/>
      <c r="T26" s="1"/>
      <c r="U26" s="141"/>
      <c r="V26" s="141"/>
      <c r="W26" s="1"/>
      <c r="X26" s="141"/>
      <c r="Y26" s="141"/>
      <c r="Z26" s="141"/>
      <c r="AA26" s="141"/>
      <c r="AB26" s="1"/>
      <c r="AC26" s="141"/>
      <c r="AD26" s="14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row>
    <row r="27" spans="1:78">
      <c r="A27" s="141"/>
      <c r="B27" s="141"/>
      <c r="C27" s="1"/>
      <c r="D27" s="141"/>
      <c r="E27" s="141"/>
      <c r="F27" s="1"/>
      <c r="G27" s="141" t="s">
        <v>910</v>
      </c>
      <c r="H27" s="141">
        <v>0.27</v>
      </c>
      <c r="I27" s="141">
        <v>0.82</v>
      </c>
      <c r="J27" s="141">
        <v>0.26</v>
      </c>
      <c r="K27" s="141">
        <v>0.55000000000000004</v>
      </c>
      <c r="L27" s="141">
        <v>1.52</v>
      </c>
      <c r="M27" s="1"/>
      <c r="N27" s="141"/>
      <c r="O27" s="141"/>
      <c r="P27" s="141"/>
      <c r="Q27" s="141"/>
      <c r="R27" s="141"/>
      <c r="S27" s="141"/>
      <c r="T27" s="1"/>
      <c r="U27" s="141"/>
      <c r="V27" s="141"/>
      <c r="W27" s="1"/>
      <c r="X27" s="141"/>
      <c r="Y27" s="141"/>
      <c r="Z27" s="141"/>
      <c r="AA27" s="141"/>
      <c r="AB27" s="1"/>
      <c r="AC27" s="141"/>
      <c r="AD27" s="14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row>
    <row r="28" spans="1:78">
      <c r="A28" s="141"/>
      <c r="B28" s="141"/>
      <c r="C28" s="1"/>
      <c r="D28" s="141"/>
      <c r="E28" s="141"/>
      <c r="F28" s="1"/>
      <c r="G28" s="141" t="s">
        <v>1459</v>
      </c>
      <c r="H28" s="141">
        <v>0.02</v>
      </c>
      <c r="I28" s="141">
        <v>0.26</v>
      </c>
      <c r="J28" s="141">
        <v>0.55000000000000004</v>
      </c>
      <c r="K28" s="141">
        <v>0.02</v>
      </c>
      <c r="L28" s="141">
        <v>7.0000000000000007E-2</v>
      </c>
      <c r="M28" s="1"/>
      <c r="N28" s="141"/>
      <c r="O28" s="141"/>
      <c r="P28" s="141"/>
      <c r="Q28" s="141"/>
      <c r="R28" s="141"/>
      <c r="S28" s="141"/>
      <c r="T28" s="1"/>
      <c r="U28" s="141"/>
      <c r="V28" s="141"/>
      <c r="W28" s="1"/>
      <c r="X28" s="141"/>
      <c r="Y28" s="141"/>
      <c r="Z28" s="141"/>
      <c r="AA28" s="141"/>
      <c r="AB28" s="1"/>
      <c r="AC28" s="141"/>
      <c r="AD28" s="14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row>
    <row r="29" spans="1:78">
      <c r="A29" s="141"/>
      <c r="B29" s="141"/>
      <c r="C29" s="1"/>
      <c r="D29" s="141"/>
      <c r="E29" s="141"/>
      <c r="F29" s="1"/>
      <c r="G29" s="141" t="s">
        <v>1317</v>
      </c>
      <c r="H29" s="141">
        <v>0.55000000000000004</v>
      </c>
      <c r="I29" s="141">
        <v>0.55000000000000004</v>
      </c>
      <c r="J29" s="141">
        <v>0.02</v>
      </c>
      <c r="K29" s="141">
        <v>11.45</v>
      </c>
      <c r="L29" s="141">
        <v>6.2</v>
      </c>
      <c r="M29" s="1"/>
      <c r="N29" s="141"/>
      <c r="O29" s="141"/>
      <c r="P29" s="141"/>
      <c r="Q29" s="141"/>
      <c r="R29" s="141"/>
      <c r="S29" s="141"/>
      <c r="T29" s="1"/>
      <c r="U29" s="141"/>
      <c r="V29" s="141"/>
      <c r="W29" s="1"/>
      <c r="X29" s="141"/>
      <c r="Y29" s="141"/>
      <c r="Z29" s="141"/>
      <c r="AA29" s="141"/>
      <c r="AB29" s="1"/>
      <c r="AC29" s="141"/>
      <c r="AD29" s="14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row>
    <row r="30" spans="1:78">
      <c r="A30" s="141"/>
      <c r="B30" s="141"/>
      <c r="C30" s="1"/>
      <c r="D30" s="141"/>
      <c r="E30" s="141"/>
      <c r="F30" s="1"/>
      <c r="G30" s="141" t="s">
        <v>1460</v>
      </c>
      <c r="H30" s="141">
        <v>0</v>
      </c>
      <c r="I30" s="141">
        <v>0.02</v>
      </c>
      <c r="J30" s="141">
        <v>10.76</v>
      </c>
      <c r="K30" s="141">
        <v>34.64</v>
      </c>
      <c r="L30" s="141">
        <v>12.94</v>
      </c>
      <c r="M30" s="1"/>
      <c r="N30" s="141"/>
      <c r="O30" s="141"/>
      <c r="P30" s="141"/>
      <c r="Q30" s="141"/>
      <c r="R30" s="141"/>
      <c r="S30" s="141"/>
      <c r="T30" s="1"/>
      <c r="U30" s="141"/>
      <c r="V30" s="141"/>
      <c r="W30" s="1"/>
      <c r="X30" s="141"/>
      <c r="Y30" s="141"/>
      <c r="Z30" s="141"/>
      <c r="AA30" s="141"/>
      <c r="AB30" s="1"/>
      <c r="AC30" s="141"/>
      <c r="AD30" s="14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row>
    <row r="31" spans="1:78">
      <c r="A31" s="141"/>
      <c r="B31" s="141"/>
      <c r="C31" s="1"/>
      <c r="D31" s="141"/>
      <c r="E31" s="141"/>
      <c r="F31" s="1"/>
      <c r="G31" s="141" t="s">
        <v>889</v>
      </c>
      <c r="H31" s="141">
        <v>11.38</v>
      </c>
      <c r="I31" s="141">
        <v>10.62</v>
      </c>
      <c r="J31" s="141">
        <v>36.020000000000003</v>
      </c>
      <c r="K31" s="141">
        <v>97.98</v>
      </c>
      <c r="L31" s="141">
        <v>20.73</v>
      </c>
      <c r="M31" s="1"/>
      <c r="N31" s="141"/>
      <c r="O31" s="141"/>
      <c r="P31" s="141"/>
      <c r="Q31" s="141"/>
      <c r="R31" s="141"/>
      <c r="S31" s="141"/>
      <c r="T31" s="1"/>
      <c r="U31" s="141"/>
      <c r="V31" s="141"/>
      <c r="W31" s="1"/>
      <c r="X31" s="141"/>
      <c r="Y31" s="141"/>
      <c r="Z31" s="141"/>
      <c r="AA31" s="141"/>
      <c r="AB31" s="1"/>
      <c r="AC31" s="141"/>
      <c r="AD31" s="14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row>
    <row r="32" spans="1:78">
      <c r="A32" s="141"/>
      <c r="B32" s="141"/>
      <c r="C32" s="1"/>
      <c r="D32" s="141"/>
      <c r="E32" s="141"/>
      <c r="F32" s="1"/>
      <c r="G32" s="141" t="s">
        <v>911</v>
      </c>
      <c r="H32" s="141">
        <v>36.56</v>
      </c>
      <c r="I32" s="141">
        <v>36.47</v>
      </c>
      <c r="J32" s="141">
        <v>98.03</v>
      </c>
      <c r="K32" s="141">
        <v>0</v>
      </c>
      <c r="L32" s="141"/>
      <c r="M32" s="1"/>
      <c r="N32" s="141"/>
      <c r="O32" s="141"/>
      <c r="P32" s="141"/>
      <c r="Q32" s="141"/>
      <c r="R32" s="141"/>
      <c r="S32" s="141"/>
      <c r="T32" s="1"/>
      <c r="U32" s="141"/>
      <c r="V32" s="141"/>
      <c r="W32" s="1"/>
      <c r="X32" s="141"/>
      <c r="Y32" s="141"/>
      <c r="Z32" s="141"/>
      <c r="AA32" s="141"/>
      <c r="AB32" s="1"/>
      <c r="AC32" s="141"/>
      <c r="AD32" s="14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row>
    <row r="33" spans="1:78">
      <c r="A33" s="141"/>
      <c r="B33" s="141"/>
      <c r="C33" s="1"/>
      <c r="D33" s="141"/>
      <c r="E33" s="141"/>
      <c r="F33" s="1"/>
      <c r="G33" s="141" t="s">
        <v>912</v>
      </c>
      <c r="H33" s="141">
        <v>98.25</v>
      </c>
      <c r="I33" s="141">
        <v>98.21</v>
      </c>
      <c r="J33" s="141">
        <v>0</v>
      </c>
      <c r="K33" s="141">
        <v>1</v>
      </c>
      <c r="L33" s="141">
        <v>5.13</v>
      </c>
      <c r="M33" s="1"/>
      <c r="N33" s="141"/>
      <c r="O33" s="141"/>
      <c r="P33" s="141"/>
      <c r="Q33" s="141"/>
      <c r="R33" s="141"/>
      <c r="S33" s="141"/>
      <c r="T33" s="1"/>
      <c r="U33" s="141"/>
      <c r="V33" s="141"/>
      <c r="W33" s="1"/>
      <c r="X33" s="141"/>
      <c r="Y33" s="141"/>
      <c r="Z33" s="141"/>
      <c r="AA33" s="141"/>
      <c r="AB33" s="1"/>
      <c r="AC33" s="141"/>
      <c r="AD33" s="14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row>
    <row r="34" spans="1:78">
      <c r="A34" s="141"/>
      <c r="B34" s="141"/>
      <c r="C34" s="1"/>
      <c r="D34" s="141"/>
      <c r="E34" s="141"/>
      <c r="F34" s="1"/>
      <c r="G34" s="141" t="s">
        <v>913</v>
      </c>
      <c r="H34" s="141">
        <v>0</v>
      </c>
      <c r="I34" s="141">
        <v>0</v>
      </c>
      <c r="J34" s="141">
        <v>1</v>
      </c>
      <c r="K34" s="141">
        <v>1.01</v>
      </c>
      <c r="L34" s="141"/>
      <c r="M34" s="1"/>
      <c r="N34" s="141"/>
      <c r="O34" s="141"/>
      <c r="P34" s="141"/>
      <c r="Q34" s="141"/>
      <c r="R34" s="141"/>
      <c r="S34" s="141"/>
      <c r="T34" s="1"/>
      <c r="U34" s="141"/>
      <c r="V34" s="141"/>
      <c r="W34" s="1"/>
      <c r="X34" s="141"/>
      <c r="Y34" s="141"/>
      <c r="Z34" s="141"/>
      <c r="AA34" s="141"/>
      <c r="AB34" s="1"/>
      <c r="AC34" s="141"/>
      <c r="AD34" s="14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row>
    <row r="35" spans="1:78">
      <c r="A35" s="141"/>
      <c r="B35" s="141"/>
      <c r="C35" s="1"/>
      <c r="D35" s="141"/>
      <c r="E35" s="141"/>
      <c r="F35" s="1"/>
      <c r="G35" s="141" t="s">
        <v>1416</v>
      </c>
      <c r="H35" s="141">
        <v>1</v>
      </c>
      <c r="I35" s="141">
        <v>1</v>
      </c>
      <c r="J35" s="141">
        <v>0.97</v>
      </c>
      <c r="K35" s="141">
        <v>2.02</v>
      </c>
      <c r="L35" s="141">
        <v>7.01</v>
      </c>
      <c r="M35" s="1"/>
      <c r="N35" s="141"/>
      <c r="O35" s="141"/>
      <c r="P35" s="141"/>
      <c r="Q35" s="141"/>
      <c r="R35" s="141"/>
      <c r="S35" s="141"/>
      <c r="T35" s="1"/>
      <c r="U35" s="141"/>
      <c r="V35" s="141"/>
      <c r="W35" s="1"/>
      <c r="X35" s="141"/>
      <c r="Y35" s="141"/>
      <c r="Z35" s="141"/>
      <c r="AA35" s="141"/>
      <c r="AB35" s="1"/>
      <c r="AC35" s="141"/>
      <c r="AD35" s="14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row>
    <row r="36" spans="1:78">
      <c r="A36" s="1"/>
      <c r="B36" s="1"/>
      <c r="C36" s="1"/>
      <c r="D36" s="1"/>
      <c r="E36" s="1"/>
      <c r="F36" s="1"/>
      <c r="G36" s="1"/>
      <c r="H36" s="1"/>
      <c r="I36" s="1"/>
      <c r="J36" s="1"/>
      <c r="K36" s="1"/>
      <c r="L36" s="1">
        <v>0.76</v>
      </c>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row>
    <row r="37" spans="1:78">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row>
    <row r="38" spans="1:7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row>
    <row r="39" spans="1:78">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row>
    <row r="40" spans="1:78">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row>
    <row r="41" spans="1:78">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row>
    <row r="42" spans="1:78">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row>
    <row r="43" spans="1:78">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row>
    <row r="44" spans="1:78">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row>
    <row r="45" spans="1:78">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row>
    <row r="46" spans="1:78">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row>
    <row r="47" spans="1:78">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row>
    <row r="48" spans="1:7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row>
    <row r="49" spans="1:78">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row>
    <row r="50" spans="1:78">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row>
    <row r="51" spans="1:78">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row>
    <row r="52" spans="1:78">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row>
    <row r="53" spans="1:78">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row>
    <row r="54" spans="1:78">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row>
    <row r="55" spans="1:78">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row>
    <row r="56" spans="1:78">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row>
    <row r="57" spans="1:78">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row>
    <row r="58" spans="1:7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row>
    <row r="59" spans="1:78">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row>
    <row r="60" spans="1:78">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row>
    <row r="61" spans="1:78">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row>
    <row r="62" spans="1:78">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row>
    <row r="63" spans="1:78">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row>
    <row r="64" spans="1:78">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row>
    <row r="65" spans="1:78">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row>
    <row r="66" spans="1:78">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row>
    <row r="67" spans="1:78">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row>
    <row r="68" spans="1:7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row>
    <row r="69" spans="1:78">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row>
    <row r="70" spans="1:78">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row>
    <row r="71" spans="1:78">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row>
    <row r="72" spans="1:78">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row>
    <row r="73" spans="1:78">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row>
    <row r="74" spans="1:78">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row>
    <row r="75" spans="1:78">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row>
    <row r="76" spans="1:78">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row>
    <row r="77" spans="1:78">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row>
    <row r="78" spans="1: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row>
    <row r="79" spans="1:78">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row>
    <row r="80" spans="1:78">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row>
    <row r="81" spans="1:78">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row>
    <row r="82" spans="1:78">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row>
    <row r="83" spans="1:78">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row>
    <row r="84" spans="1:78">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row>
    <row r="85" spans="1:78">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row>
    <row r="86" spans="1:78">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row>
    <row r="87" spans="1:78">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row>
    <row r="88" spans="1:7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row>
    <row r="89" spans="1:78">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row>
    <row r="90" spans="1:78">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row>
    <row r="91" spans="1:78">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row>
    <row r="92" spans="1:78">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row>
    <row r="93" spans="1:78">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row>
    <row r="94" spans="1:78">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row>
    <row r="95" spans="1:78">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row>
    <row r="96" spans="1:78">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row>
    <row r="97" spans="1:78">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row>
    <row r="98" spans="1:7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row>
    <row r="99" spans="1:78">
      <c r="A99" s="250"/>
      <c r="B99" s="250"/>
      <c r="C99" s="250"/>
      <c r="D99" s="250"/>
      <c r="E99" s="250"/>
      <c r="F99" s="250"/>
      <c r="G99" s="250"/>
      <c r="H99" s="250"/>
      <c r="I99" s="250"/>
      <c r="J99" s="250"/>
      <c r="K99" s="250"/>
      <c r="L99" s="250"/>
      <c r="M99" s="250"/>
      <c r="N99" s="250"/>
      <c r="O99" s="250"/>
      <c r="P99" s="250"/>
      <c r="Q99" s="250"/>
      <c r="R99" s="250"/>
      <c r="S99" s="250"/>
      <c r="T99" s="250"/>
      <c r="U99" s="250"/>
      <c r="V99" s="250"/>
      <c r="W99" s="250"/>
      <c r="X99" s="250"/>
      <c r="Y99" s="250"/>
      <c r="Z99" s="250"/>
      <c r="AA99" s="250"/>
      <c r="AB99" s="250"/>
      <c r="AC99" s="250"/>
      <c r="AD99" s="250"/>
      <c r="AE99" s="250"/>
      <c r="AF99" s="250"/>
      <c r="AG99" s="250"/>
      <c r="AH99" s="250"/>
      <c r="AI99" s="250"/>
      <c r="AJ99" s="250"/>
      <c r="AK99" s="250"/>
      <c r="AL99" s="250"/>
      <c r="AM99" s="250"/>
      <c r="AN99" s="250"/>
      <c r="AO99" s="250"/>
      <c r="AP99" s="250"/>
      <c r="AQ99" s="250"/>
      <c r="AR99" s="250"/>
      <c r="AS99" s="250"/>
      <c r="AT99" s="250"/>
      <c r="AU99" s="250"/>
      <c r="AV99" s="250"/>
      <c r="AW99" s="250"/>
      <c r="AX99" s="250"/>
      <c r="AY99" s="250"/>
      <c r="AZ99" s="250"/>
      <c r="BA99" s="250"/>
      <c r="BB99" s="250"/>
      <c r="BC99" s="250"/>
      <c r="BD99" s="250"/>
      <c r="BE99" s="250"/>
      <c r="BF99" s="250"/>
      <c r="BG99" s="250"/>
      <c r="BH99" s="250"/>
      <c r="BI99" s="250"/>
      <c r="BJ99" s="250"/>
      <c r="BK99" s="250"/>
      <c r="BL99" s="250"/>
      <c r="BM99" s="250"/>
      <c r="BN99" s="250"/>
      <c r="BO99" s="250"/>
      <c r="BP99" s="250"/>
      <c r="BQ99" s="250"/>
      <c r="BR99" s="250"/>
      <c r="BS99" s="250"/>
      <c r="BT99" s="250"/>
      <c r="BU99" s="250"/>
      <c r="BV99" s="250"/>
      <c r="BW99" s="250"/>
      <c r="BX99" s="250"/>
      <c r="BY99" s="250"/>
      <c r="BZ99" s="250"/>
    </row>
    <row r="100" spans="1:78">
      <c r="A100" s="251" t="s">
        <v>914</v>
      </c>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row>
    <row r="101" spans="1:78">
      <c r="A101" s="251"/>
      <c r="B101" s="251" t="s">
        <v>1417</v>
      </c>
      <c r="C101" s="251" t="s">
        <v>730</v>
      </c>
      <c r="D101" s="251" t="s">
        <v>1461</v>
      </c>
      <c r="E101" s="251" t="s">
        <v>1462</v>
      </c>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row>
    <row r="102" spans="1:78">
      <c r="A102" s="251" t="s">
        <v>915</v>
      </c>
      <c r="B102" s="251">
        <v>2823.5</v>
      </c>
      <c r="C102" s="251">
        <v>1499.55</v>
      </c>
      <c r="D102" s="251">
        <v>238.05</v>
      </c>
      <c r="E102" s="251">
        <v>653.5</v>
      </c>
      <c r="F102" s="1"/>
      <c r="G102" s="251" t="s">
        <v>916</v>
      </c>
      <c r="H102" s="251"/>
      <c r="I102" s="251"/>
      <c r="J102" s="251"/>
      <c r="K102" s="25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row>
    <row r="103" spans="1:78">
      <c r="A103" s="251">
        <v>2015</v>
      </c>
      <c r="B103" s="251" t="s">
        <v>786</v>
      </c>
      <c r="C103" s="251" t="s">
        <v>786</v>
      </c>
      <c r="D103" s="251" t="s">
        <v>786</v>
      </c>
      <c r="E103" s="251" t="s">
        <v>786</v>
      </c>
      <c r="F103" s="1" t="s">
        <v>786</v>
      </c>
      <c r="G103" s="251">
        <v>2015</v>
      </c>
      <c r="H103" s="251" t="s">
        <v>786</v>
      </c>
      <c r="I103" s="251" t="s">
        <v>786</v>
      </c>
      <c r="J103" s="251" t="s">
        <v>786</v>
      </c>
      <c r="K103" s="251" t="s">
        <v>786</v>
      </c>
      <c r="L103" s="1" t="s">
        <v>786</v>
      </c>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row>
    <row r="104" spans="1:78">
      <c r="A104" s="251">
        <v>2014</v>
      </c>
      <c r="B104" s="251">
        <v>9</v>
      </c>
      <c r="C104" s="251" t="s">
        <v>786</v>
      </c>
      <c r="D104" s="251" t="s">
        <v>786</v>
      </c>
      <c r="E104" s="251" t="s">
        <v>786</v>
      </c>
      <c r="F104" s="1" t="s">
        <v>786</v>
      </c>
      <c r="G104" s="251">
        <v>2014</v>
      </c>
      <c r="H104" s="251" t="s">
        <v>786</v>
      </c>
      <c r="I104" s="251" t="s">
        <v>786</v>
      </c>
      <c r="J104" s="251" t="s">
        <v>786</v>
      </c>
      <c r="K104" s="251" t="s">
        <v>786</v>
      </c>
      <c r="L104" s="1" t="s">
        <v>786</v>
      </c>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row>
    <row r="105" spans="1:78">
      <c r="A105" s="251">
        <v>2013</v>
      </c>
      <c r="B105" s="251">
        <v>9</v>
      </c>
      <c r="C105" s="251" t="s">
        <v>786</v>
      </c>
      <c r="D105" s="251" t="s">
        <v>786</v>
      </c>
      <c r="E105" s="251" t="s">
        <v>786</v>
      </c>
      <c r="F105" s="1" t="s">
        <v>786</v>
      </c>
      <c r="G105" s="251">
        <v>2013</v>
      </c>
      <c r="H105" s="251" t="s">
        <v>786</v>
      </c>
      <c r="I105" s="251" t="s">
        <v>786</v>
      </c>
      <c r="J105" s="251" t="s">
        <v>786</v>
      </c>
      <c r="K105" s="251" t="s">
        <v>786</v>
      </c>
      <c r="L105" s="1" t="s">
        <v>786</v>
      </c>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row>
    <row r="106" spans="1:78">
      <c r="A106" s="251">
        <v>2012</v>
      </c>
      <c r="B106" s="251">
        <v>8</v>
      </c>
      <c r="C106" s="251" t="s">
        <v>786</v>
      </c>
      <c r="D106" s="251" t="s">
        <v>786</v>
      </c>
      <c r="E106" s="251" t="s">
        <v>786</v>
      </c>
      <c r="F106" s="1" t="s">
        <v>786</v>
      </c>
      <c r="G106" s="251">
        <v>2012</v>
      </c>
      <c r="H106" s="251" t="s">
        <v>786</v>
      </c>
      <c r="I106" s="251" t="s">
        <v>786</v>
      </c>
      <c r="J106" s="251" t="s">
        <v>786</v>
      </c>
      <c r="K106" s="251" t="s">
        <v>786</v>
      </c>
      <c r="L106" s="1" t="s">
        <v>786</v>
      </c>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row>
    <row r="107" spans="1:78">
      <c r="A107" s="251">
        <v>2011</v>
      </c>
      <c r="B107" s="251">
        <v>6</v>
      </c>
      <c r="C107" s="251" t="s">
        <v>786</v>
      </c>
      <c r="D107" s="251" t="s">
        <v>786</v>
      </c>
      <c r="E107" s="251" t="s">
        <v>786</v>
      </c>
      <c r="F107" s="1" t="s">
        <v>786</v>
      </c>
      <c r="G107" s="251">
        <v>2011</v>
      </c>
      <c r="H107" s="251" t="s">
        <v>786</v>
      </c>
      <c r="I107" s="251" t="s">
        <v>786</v>
      </c>
      <c r="J107" s="251" t="s">
        <v>786</v>
      </c>
      <c r="K107" s="251" t="s">
        <v>786</v>
      </c>
      <c r="L107" s="1" t="s">
        <v>786</v>
      </c>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row>
    <row r="108" spans="1:7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row>
    <row r="109" spans="1:78">
      <c r="A109" s="251" t="s">
        <v>914</v>
      </c>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row>
    <row r="110" spans="1:78">
      <c r="A110" s="251"/>
      <c r="B110" s="251" t="s">
        <v>730</v>
      </c>
      <c r="C110" s="251" t="s">
        <v>1417</v>
      </c>
      <c r="D110" s="251" t="s">
        <v>1461</v>
      </c>
      <c r="E110" s="251" t="s">
        <v>1462</v>
      </c>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row>
    <row r="111" spans="1:78">
      <c r="A111" s="251" t="s">
        <v>915</v>
      </c>
      <c r="B111" s="251">
        <v>1499.55</v>
      </c>
      <c r="C111" s="251">
        <v>2823.5</v>
      </c>
      <c r="D111" s="251">
        <v>238.05</v>
      </c>
      <c r="E111" s="251">
        <v>653.5</v>
      </c>
      <c r="F111" s="1"/>
      <c r="G111" s="251" t="s">
        <v>916</v>
      </c>
      <c r="H111" s="251"/>
      <c r="I111" s="251"/>
      <c r="J111" s="251"/>
      <c r="K111" s="25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row>
    <row r="112" spans="1:78">
      <c r="A112" s="251">
        <v>2015</v>
      </c>
      <c r="B112" s="251">
        <v>19</v>
      </c>
      <c r="C112" s="251" t="s">
        <v>786</v>
      </c>
      <c r="D112" s="251" t="s">
        <v>786</v>
      </c>
      <c r="E112" s="251" t="s">
        <v>786</v>
      </c>
      <c r="F112" s="1" t="s">
        <v>786</v>
      </c>
      <c r="G112" s="251">
        <v>2015</v>
      </c>
      <c r="H112" s="251" t="s">
        <v>786</v>
      </c>
      <c r="I112" s="251" t="s">
        <v>786</v>
      </c>
      <c r="J112" s="251" t="s">
        <v>786</v>
      </c>
      <c r="K112" s="251" t="s">
        <v>786</v>
      </c>
      <c r="L112" s="1" t="s">
        <v>786</v>
      </c>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row>
    <row r="113" spans="1:78">
      <c r="A113" s="251">
        <v>2014</v>
      </c>
      <c r="B113" s="251">
        <v>34</v>
      </c>
      <c r="C113" s="251" t="s">
        <v>786</v>
      </c>
      <c r="D113" s="251" t="s">
        <v>786</v>
      </c>
      <c r="E113" s="251" t="s">
        <v>786</v>
      </c>
      <c r="F113" s="1" t="s">
        <v>786</v>
      </c>
      <c r="G113" s="251">
        <v>2014</v>
      </c>
      <c r="H113" s="251" t="s">
        <v>786</v>
      </c>
      <c r="I113" s="251" t="s">
        <v>786</v>
      </c>
      <c r="J113" s="251" t="s">
        <v>786</v>
      </c>
      <c r="K113" s="251" t="s">
        <v>786</v>
      </c>
      <c r="L113" s="1" t="s">
        <v>786</v>
      </c>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row>
    <row r="114" spans="1:78">
      <c r="A114" s="251">
        <v>2013</v>
      </c>
      <c r="B114" s="251">
        <v>30</v>
      </c>
      <c r="C114" s="251" t="s">
        <v>786</v>
      </c>
      <c r="D114" s="251" t="s">
        <v>786</v>
      </c>
      <c r="E114" s="251" t="s">
        <v>786</v>
      </c>
      <c r="F114" s="1" t="s">
        <v>786</v>
      </c>
      <c r="G114" s="251">
        <v>2013</v>
      </c>
      <c r="H114" s="251" t="s">
        <v>786</v>
      </c>
      <c r="I114" s="251" t="s">
        <v>786</v>
      </c>
      <c r="J114" s="251" t="s">
        <v>786</v>
      </c>
      <c r="K114" s="251" t="s">
        <v>786</v>
      </c>
      <c r="L114" s="1" t="s">
        <v>786</v>
      </c>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row>
    <row r="115" spans="1:78">
      <c r="A115" s="251">
        <v>2012</v>
      </c>
      <c r="B115" s="251">
        <v>28</v>
      </c>
      <c r="C115" s="251" t="s">
        <v>786</v>
      </c>
      <c r="D115" s="251" t="s">
        <v>786</v>
      </c>
      <c r="E115" s="251" t="s">
        <v>786</v>
      </c>
      <c r="F115" s="1" t="s">
        <v>786</v>
      </c>
      <c r="G115" s="251">
        <v>2012</v>
      </c>
      <c r="H115" s="251" t="s">
        <v>786</v>
      </c>
      <c r="I115" s="251" t="s">
        <v>786</v>
      </c>
      <c r="J115" s="251" t="s">
        <v>786</v>
      </c>
      <c r="K115" s="251" t="s">
        <v>786</v>
      </c>
      <c r="L115" s="1" t="s">
        <v>786</v>
      </c>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row>
    <row r="116" spans="1:78">
      <c r="A116" s="251">
        <v>2011</v>
      </c>
      <c r="B116" s="251">
        <v>31.5</v>
      </c>
      <c r="C116" s="251" t="s">
        <v>786</v>
      </c>
      <c r="D116" s="251" t="s">
        <v>786</v>
      </c>
      <c r="E116" s="251" t="s">
        <v>786</v>
      </c>
      <c r="F116" s="1" t="s">
        <v>786</v>
      </c>
      <c r="G116" s="251">
        <v>2011</v>
      </c>
      <c r="H116" s="251" t="s">
        <v>786</v>
      </c>
      <c r="I116" s="251" t="s">
        <v>786</v>
      </c>
      <c r="J116" s="251" t="s">
        <v>786</v>
      </c>
      <c r="K116" s="251" t="s">
        <v>786</v>
      </c>
      <c r="L116" s="1" t="s">
        <v>786</v>
      </c>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row>
    <row r="117" spans="1:78">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row>
    <row r="118" spans="1:78">
      <c r="A118" s="251" t="s">
        <v>914</v>
      </c>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row>
    <row r="119" spans="1:78">
      <c r="A119" s="251"/>
      <c r="B119" s="251" t="s">
        <v>1461</v>
      </c>
      <c r="C119" s="251" t="s">
        <v>1417</v>
      </c>
      <c r="D119" s="251" t="s">
        <v>730</v>
      </c>
      <c r="E119" s="251" t="s">
        <v>1462</v>
      </c>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row>
    <row r="120" spans="1:78">
      <c r="A120" s="251" t="s">
        <v>915</v>
      </c>
      <c r="B120" s="251">
        <v>238.05</v>
      </c>
      <c r="C120" s="251">
        <v>2823.5</v>
      </c>
      <c r="D120" s="251">
        <v>1499.55</v>
      </c>
      <c r="E120" s="251">
        <v>653.5</v>
      </c>
      <c r="F120" s="1"/>
      <c r="G120" s="251" t="s">
        <v>916</v>
      </c>
      <c r="H120" s="251"/>
      <c r="I120" s="251"/>
      <c r="J120" s="251"/>
      <c r="K120" s="25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row>
    <row r="121" spans="1:78">
      <c r="A121" s="251">
        <v>2015</v>
      </c>
      <c r="B121" s="251">
        <v>3.2</v>
      </c>
      <c r="C121" s="251" t="s">
        <v>786</v>
      </c>
      <c r="D121" s="251" t="s">
        <v>786</v>
      </c>
      <c r="E121" s="251" t="s">
        <v>786</v>
      </c>
      <c r="F121" s="1" t="s">
        <v>786</v>
      </c>
      <c r="G121" s="251">
        <v>2015</v>
      </c>
      <c r="H121" s="251" t="s">
        <v>786</v>
      </c>
      <c r="I121" s="251" t="s">
        <v>786</v>
      </c>
      <c r="J121" s="251" t="s">
        <v>786</v>
      </c>
      <c r="K121" s="251" t="s">
        <v>786</v>
      </c>
      <c r="L121" s="1" t="s">
        <v>786</v>
      </c>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row>
    <row r="122" spans="1:78">
      <c r="A122" s="251">
        <v>2014</v>
      </c>
      <c r="B122" s="251">
        <v>4</v>
      </c>
      <c r="C122" s="251" t="s">
        <v>786</v>
      </c>
      <c r="D122" s="251" t="s">
        <v>786</v>
      </c>
      <c r="E122" s="251" t="s">
        <v>786</v>
      </c>
      <c r="F122" s="1" t="s">
        <v>786</v>
      </c>
      <c r="G122" s="251">
        <v>2014</v>
      </c>
      <c r="H122" s="251" t="s">
        <v>786</v>
      </c>
      <c r="I122" s="251" t="s">
        <v>786</v>
      </c>
      <c r="J122" s="251" t="s">
        <v>786</v>
      </c>
      <c r="K122" s="251" t="s">
        <v>786</v>
      </c>
      <c r="L122" s="1" t="s">
        <v>786</v>
      </c>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row>
    <row r="123" spans="1:78">
      <c r="A123" s="251">
        <v>2013</v>
      </c>
      <c r="B123" s="251">
        <v>3.6</v>
      </c>
      <c r="C123" s="251" t="s">
        <v>786</v>
      </c>
      <c r="D123" s="251" t="s">
        <v>786</v>
      </c>
      <c r="E123" s="251" t="s">
        <v>786</v>
      </c>
      <c r="F123" s="1" t="s">
        <v>786</v>
      </c>
      <c r="G123" s="251">
        <v>2013</v>
      </c>
      <c r="H123" s="251" t="s">
        <v>786</v>
      </c>
      <c r="I123" s="251" t="s">
        <v>786</v>
      </c>
      <c r="J123" s="251" t="s">
        <v>786</v>
      </c>
      <c r="K123" s="251" t="s">
        <v>786</v>
      </c>
      <c r="L123" s="1" t="s">
        <v>786</v>
      </c>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row>
    <row r="124" spans="1:78">
      <c r="A124" s="251">
        <v>2012</v>
      </c>
      <c r="B124" s="251">
        <v>3.2</v>
      </c>
      <c r="C124" s="251" t="s">
        <v>786</v>
      </c>
      <c r="D124" s="251" t="s">
        <v>786</v>
      </c>
      <c r="E124" s="251" t="s">
        <v>786</v>
      </c>
      <c r="F124" s="1" t="s">
        <v>786</v>
      </c>
      <c r="G124" s="251">
        <v>2012</v>
      </c>
      <c r="H124" s="251" t="s">
        <v>786</v>
      </c>
      <c r="I124" s="251" t="s">
        <v>786</v>
      </c>
      <c r="J124" s="251" t="s">
        <v>786</v>
      </c>
      <c r="K124" s="251" t="s">
        <v>786</v>
      </c>
      <c r="L124" s="1" t="s">
        <v>786</v>
      </c>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row>
    <row r="125" spans="1:78">
      <c r="A125" s="251">
        <v>2011</v>
      </c>
      <c r="B125" s="251">
        <v>2.8</v>
      </c>
      <c r="C125" s="251" t="s">
        <v>786</v>
      </c>
      <c r="D125" s="251" t="s">
        <v>786</v>
      </c>
      <c r="E125" s="251" t="s">
        <v>786</v>
      </c>
      <c r="F125" s="1" t="s">
        <v>786</v>
      </c>
      <c r="G125" s="251">
        <v>2011</v>
      </c>
      <c r="H125" s="251" t="s">
        <v>786</v>
      </c>
      <c r="I125" s="251" t="s">
        <v>786</v>
      </c>
      <c r="J125" s="251" t="s">
        <v>786</v>
      </c>
      <c r="K125" s="251" t="s">
        <v>786</v>
      </c>
      <c r="L125" s="1" t="s">
        <v>786</v>
      </c>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row>
    <row r="126" spans="1:78">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row>
    <row r="127" spans="1:78">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row>
    <row r="128" spans="1:7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row>
    <row r="129" spans="1:78">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row>
    <row r="130" spans="1:78">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row>
    <row r="131" spans="1:78">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row>
    <row r="132" spans="1:78">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row>
    <row r="133" spans="1:78">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row>
    <row r="134" spans="1:78">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row>
    <row r="135" spans="1:78">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row>
    <row r="136" spans="1:78">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row>
    <row r="137" spans="1:78">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row>
    <row r="138" spans="1:7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row>
    <row r="139" spans="1:78">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row>
    <row r="140" spans="1:78">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row>
    <row r="141" spans="1:78">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row>
    <row r="142" spans="1:78">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row>
    <row r="143" spans="1:78">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row>
    <row r="144" spans="1:78">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row>
    <row r="145" spans="1:78">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row>
    <row r="146" spans="1:78">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row>
    <row r="147" spans="1:78">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row>
    <row r="148" spans="1:7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row>
    <row r="149" spans="1:78">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row>
    <row r="150" spans="1:78">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row>
    <row r="151" spans="1:78">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row>
    <row r="152" spans="1:78">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row>
    <row r="153" spans="1:78">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row>
    <row r="154" spans="1:78">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row>
    <row r="155" spans="1:78">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row>
    <row r="156" spans="1:78">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row>
    <row r="157" spans="1:78">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row>
    <row r="158" spans="1:7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row>
    <row r="159" spans="1:78">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row>
    <row r="160" spans="1:78">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row>
    <row r="161" spans="1:78">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row>
    <row r="162" spans="1:78">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row>
    <row r="163" spans="1:78">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row>
    <row r="164" spans="1:78">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row>
    <row r="165" spans="1:78">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row>
    <row r="166" spans="1:78">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row>
    <row r="167" spans="1:78">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row>
    <row r="168" spans="1:7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row>
    <row r="169" spans="1:78">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row>
    <row r="170" spans="1:78">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row>
    <row r="171" spans="1:78">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row>
    <row r="172" spans="1:78">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row>
    <row r="173" spans="1:78">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row>
    <row r="174" spans="1:78">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row>
    <row r="175" spans="1:78">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row>
    <row r="176" spans="1:78">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row>
    <row r="177" spans="1:78">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row>
    <row r="178" spans="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row>
    <row r="179" spans="1:78">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row>
    <row r="180" spans="1:78">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row>
    <row r="181" spans="1:78">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row>
    <row r="182" spans="1:78">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row>
    <row r="183" spans="1:78">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row>
    <row r="184" spans="1:78">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row>
    <row r="185" spans="1:78">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row>
    <row r="186" spans="1:78">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row>
    <row r="187" spans="1:78">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row>
    <row r="188" spans="1:7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row>
    <row r="189" spans="1:78">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row>
    <row r="190" spans="1:78">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row>
    <row r="191" spans="1:78">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row>
    <row r="192" spans="1:78">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row>
    <row r="193" spans="1:78">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row>
    <row r="194" spans="1:78">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row>
    <row r="195" spans="1:78">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row>
    <row r="196" spans="1:78">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row>
    <row r="197" spans="1:78">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row>
    <row r="198" spans="1:7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row>
    <row r="199" spans="1:78">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row>
    <row r="200" spans="1:78">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row>
    <row r="201" spans="1:78">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row>
    <row r="202" spans="1:78">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row>
    <row r="203" spans="1:78">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row>
    <row r="204" spans="1:78">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row>
    <row r="205" spans="1:78">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row>
    <row r="206" spans="1:78">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row>
    <row r="207" spans="1:78">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row>
    <row r="208" spans="1:7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row>
    <row r="209" spans="1:78">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row>
    <row r="210" spans="1:78">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row>
    <row r="211" spans="1:78">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row>
    <row r="212" spans="1:78">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row>
    <row r="213" spans="1:78">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row>
    <row r="214" spans="1:78">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row>
    <row r="215" spans="1:78">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row>
    <row r="216" spans="1:78">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row>
    <row r="217" spans="1:78">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row>
    <row r="218" spans="1:7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row>
    <row r="219" spans="1:78">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row>
    <row r="220" spans="1:78">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row>
    <row r="221" spans="1:78">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row>
    <row r="222" spans="1:78">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row>
    <row r="223" spans="1:78">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row>
    <row r="224" spans="1:78">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row>
    <row r="225" spans="1:78">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row>
    <row r="226" spans="1:78">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row>
    <row r="227" spans="1:78">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row>
    <row r="228" spans="1:7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row>
    <row r="229" spans="1:78">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row>
    <row r="230" spans="1:78">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row>
    <row r="231" spans="1:78">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c r="AO231" s="1"/>
      <c r="AP231" s="1"/>
      <c r="AQ231" s="1"/>
      <c r="AR231" s="1"/>
      <c r="AS231" s="1"/>
      <c r="AT231" s="1"/>
      <c r="AU231" s="1"/>
      <c r="AV231" s="1"/>
      <c r="AW231" s="1"/>
      <c r="AX231" s="1"/>
      <c r="AY231" s="1"/>
      <c r="AZ231" s="1"/>
      <c r="BA231" s="1"/>
      <c r="BB231" s="1"/>
      <c r="BC231" s="1"/>
      <c r="BD231" s="1"/>
      <c r="BE231" s="1"/>
      <c r="BF231" s="1"/>
      <c r="BG231" s="1"/>
      <c r="BH231" s="1"/>
      <c r="BI231" s="1"/>
      <c r="BJ231" s="1"/>
      <c r="BK231" s="1"/>
      <c r="BL231" s="1"/>
      <c r="BM231" s="1"/>
      <c r="BN231" s="1"/>
      <c r="BO231" s="1"/>
      <c r="BP231" s="1"/>
      <c r="BQ231" s="1"/>
      <c r="BR231" s="1"/>
      <c r="BS231" s="1"/>
      <c r="BT231" s="1"/>
      <c r="BU231" s="1"/>
      <c r="BV231" s="1"/>
      <c r="BW231" s="1"/>
      <c r="BX231" s="1"/>
      <c r="BY231" s="1"/>
      <c r="BZ231" s="1"/>
    </row>
    <row r="232" spans="1:78">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c r="BJ232" s="1"/>
      <c r="BK232" s="1"/>
      <c r="BL232" s="1"/>
      <c r="BM232" s="1"/>
      <c r="BN232" s="1"/>
      <c r="BO232" s="1"/>
      <c r="BP232" s="1"/>
      <c r="BQ232" s="1"/>
      <c r="BR232" s="1"/>
      <c r="BS232" s="1"/>
      <c r="BT232" s="1"/>
      <c r="BU232" s="1"/>
      <c r="BV232" s="1"/>
      <c r="BW232" s="1"/>
      <c r="BX232" s="1"/>
      <c r="BY232" s="1"/>
      <c r="BZ232" s="1"/>
    </row>
    <row r="233" spans="1:78">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c r="BJ233" s="1"/>
      <c r="BK233" s="1"/>
      <c r="BL233" s="1"/>
      <c r="BM233" s="1"/>
      <c r="BN233" s="1"/>
      <c r="BO233" s="1"/>
      <c r="BP233" s="1"/>
      <c r="BQ233" s="1"/>
      <c r="BR233" s="1"/>
      <c r="BS233" s="1"/>
      <c r="BT233" s="1"/>
      <c r="BU233" s="1"/>
      <c r="BV233" s="1"/>
      <c r="BW233" s="1"/>
      <c r="BX233" s="1"/>
      <c r="BY233" s="1"/>
      <c r="BZ233" s="1"/>
    </row>
    <row r="234" spans="1:78">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c r="AO234" s="1"/>
      <c r="AP234" s="1"/>
      <c r="AQ234" s="1"/>
      <c r="AR234" s="1"/>
      <c r="AS234" s="1"/>
      <c r="AT234" s="1"/>
      <c r="AU234" s="1"/>
      <c r="AV234" s="1"/>
      <c r="AW234" s="1"/>
      <c r="AX234" s="1"/>
      <c r="AY234" s="1"/>
      <c r="AZ234" s="1"/>
      <c r="BA234" s="1"/>
      <c r="BB234" s="1"/>
      <c r="BC234" s="1"/>
      <c r="BD234" s="1"/>
      <c r="BE234" s="1"/>
      <c r="BF234" s="1"/>
      <c r="BG234" s="1"/>
      <c r="BH234" s="1"/>
      <c r="BI234" s="1"/>
      <c r="BJ234" s="1"/>
      <c r="BK234" s="1"/>
      <c r="BL234" s="1"/>
      <c r="BM234" s="1"/>
      <c r="BN234" s="1"/>
      <c r="BO234" s="1"/>
      <c r="BP234" s="1"/>
      <c r="BQ234" s="1"/>
      <c r="BR234" s="1"/>
      <c r="BS234" s="1"/>
      <c r="BT234" s="1"/>
      <c r="BU234" s="1"/>
      <c r="BV234" s="1"/>
      <c r="BW234" s="1"/>
      <c r="BX234" s="1"/>
      <c r="BY234" s="1"/>
      <c r="BZ234" s="1"/>
    </row>
    <row r="235" spans="1:78">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c r="BJ235" s="1"/>
      <c r="BK235" s="1"/>
      <c r="BL235" s="1"/>
      <c r="BM235" s="1"/>
      <c r="BN235" s="1"/>
      <c r="BO235" s="1"/>
      <c r="BP235" s="1"/>
      <c r="BQ235" s="1"/>
      <c r="BR235" s="1"/>
      <c r="BS235" s="1"/>
      <c r="BT235" s="1"/>
      <c r="BU235" s="1"/>
      <c r="BV235" s="1"/>
      <c r="BW235" s="1"/>
      <c r="BX235" s="1"/>
      <c r="BY235" s="1"/>
      <c r="BZ235" s="1"/>
    </row>
    <row r="236" spans="1:78">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c r="BJ236" s="1"/>
      <c r="BK236" s="1"/>
      <c r="BL236" s="1"/>
      <c r="BM236" s="1"/>
      <c r="BN236" s="1"/>
      <c r="BO236" s="1"/>
      <c r="BP236" s="1"/>
      <c r="BQ236" s="1"/>
      <c r="BR236" s="1"/>
      <c r="BS236" s="1"/>
      <c r="BT236" s="1"/>
      <c r="BU236" s="1"/>
      <c r="BV236" s="1"/>
      <c r="BW236" s="1"/>
      <c r="BX236" s="1"/>
      <c r="BY236" s="1"/>
      <c r="BZ236" s="1"/>
    </row>
    <row r="237" spans="1:78">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c r="BJ237" s="1"/>
      <c r="BK237" s="1"/>
      <c r="BL237" s="1"/>
      <c r="BM237" s="1"/>
      <c r="BN237" s="1"/>
      <c r="BO237" s="1"/>
      <c r="BP237" s="1"/>
      <c r="BQ237" s="1"/>
      <c r="BR237" s="1"/>
      <c r="BS237" s="1"/>
      <c r="BT237" s="1"/>
      <c r="BU237" s="1"/>
      <c r="BV237" s="1"/>
      <c r="BW237" s="1"/>
      <c r="BX237" s="1"/>
      <c r="BY237" s="1"/>
      <c r="BZ237" s="1"/>
    </row>
    <row r="238" spans="1:7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c r="BJ238" s="1"/>
      <c r="BK238" s="1"/>
      <c r="BL238" s="1"/>
      <c r="BM238" s="1"/>
      <c r="BN238" s="1"/>
      <c r="BO238" s="1"/>
      <c r="BP238" s="1"/>
      <c r="BQ238" s="1"/>
      <c r="BR238" s="1"/>
      <c r="BS238" s="1"/>
      <c r="BT238" s="1"/>
      <c r="BU238" s="1"/>
      <c r="BV238" s="1"/>
      <c r="BW238" s="1"/>
      <c r="BX238" s="1"/>
      <c r="BY238" s="1"/>
      <c r="BZ238" s="1"/>
    </row>
    <row r="239" spans="1:78">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c r="AO239" s="1"/>
      <c r="AP239" s="1"/>
      <c r="AQ239" s="1"/>
      <c r="AR239" s="1"/>
      <c r="AS239" s="1"/>
      <c r="AT239" s="1"/>
      <c r="AU239" s="1"/>
      <c r="AV239" s="1"/>
      <c r="AW239" s="1"/>
      <c r="AX239" s="1"/>
      <c r="AY239" s="1"/>
      <c r="AZ239" s="1"/>
      <c r="BA239" s="1"/>
      <c r="BB239" s="1"/>
      <c r="BC239" s="1"/>
      <c r="BD239" s="1"/>
      <c r="BE239" s="1"/>
      <c r="BF239" s="1"/>
      <c r="BG239" s="1"/>
      <c r="BH239" s="1"/>
      <c r="BI239" s="1"/>
      <c r="BJ239" s="1"/>
      <c r="BK239" s="1"/>
      <c r="BL239" s="1"/>
      <c r="BM239" s="1"/>
      <c r="BN239" s="1"/>
      <c r="BO239" s="1"/>
      <c r="BP239" s="1"/>
      <c r="BQ239" s="1"/>
      <c r="BR239" s="1"/>
      <c r="BS239" s="1"/>
      <c r="BT239" s="1"/>
      <c r="BU239" s="1"/>
      <c r="BV239" s="1"/>
      <c r="BW239" s="1"/>
      <c r="BX239" s="1"/>
      <c r="BY239" s="1"/>
      <c r="BZ239" s="1"/>
    </row>
    <row r="240" spans="1:78">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c r="BJ240" s="1"/>
      <c r="BK240" s="1"/>
      <c r="BL240" s="1"/>
      <c r="BM240" s="1"/>
      <c r="BN240" s="1"/>
      <c r="BO240" s="1"/>
      <c r="BP240" s="1"/>
      <c r="BQ240" s="1"/>
      <c r="BR240" s="1"/>
      <c r="BS240" s="1"/>
      <c r="BT240" s="1"/>
      <c r="BU240" s="1"/>
      <c r="BV240" s="1"/>
      <c r="BW240" s="1"/>
      <c r="BX240" s="1"/>
      <c r="BY240" s="1"/>
      <c r="BZ240" s="1"/>
    </row>
    <row r="241" spans="1:78">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c r="BJ241" s="1"/>
      <c r="BK241" s="1"/>
      <c r="BL241" s="1"/>
      <c r="BM241" s="1"/>
      <c r="BN241" s="1"/>
      <c r="BO241" s="1"/>
      <c r="BP241" s="1"/>
      <c r="BQ241" s="1"/>
      <c r="BR241" s="1"/>
      <c r="BS241" s="1"/>
      <c r="BT241" s="1"/>
      <c r="BU241" s="1"/>
      <c r="BV241" s="1"/>
      <c r="BW241" s="1"/>
      <c r="BX241" s="1"/>
      <c r="BY241" s="1"/>
      <c r="BZ241" s="1"/>
    </row>
    <row r="242" spans="1:78">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c r="AO242" s="1"/>
      <c r="AP242" s="1"/>
      <c r="AQ242" s="1"/>
      <c r="AR242" s="1"/>
      <c r="AS242" s="1"/>
      <c r="AT242" s="1"/>
      <c r="AU242" s="1"/>
      <c r="AV242" s="1"/>
      <c r="AW242" s="1"/>
      <c r="AX242" s="1"/>
      <c r="AY242" s="1"/>
      <c r="AZ242" s="1"/>
      <c r="BA242" s="1"/>
      <c r="BB242" s="1"/>
      <c r="BC242" s="1"/>
      <c r="BD242" s="1"/>
      <c r="BE242" s="1"/>
      <c r="BF242" s="1"/>
      <c r="BG242" s="1"/>
      <c r="BH242" s="1"/>
      <c r="BI242" s="1"/>
      <c r="BJ242" s="1"/>
      <c r="BK242" s="1"/>
      <c r="BL242" s="1"/>
      <c r="BM242" s="1"/>
      <c r="BN242" s="1"/>
      <c r="BO242" s="1"/>
      <c r="BP242" s="1"/>
      <c r="BQ242" s="1"/>
      <c r="BR242" s="1"/>
      <c r="BS242" s="1"/>
      <c r="BT242" s="1"/>
      <c r="BU242" s="1"/>
      <c r="BV242" s="1"/>
      <c r="BW242" s="1"/>
      <c r="BX242" s="1"/>
      <c r="BY242" s="1"/>
      <c r="BZ242" s="1"/>
    </row>
    <row r="243" spans="1:78">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c r="BJ243" s="1"/>
      <c r="BK243" s="1"/>
      <c r="BL243" s="1"/>
      <c r="BM243" s="1"/>
      <c r="BN243" s="1"/>
      <c r="BO243" s="1"/>
      <c r="BP243" s="1"/>
      <c r="BQ243" s="1"/>
      <c r="BR243" s="1"/>
      <c r="BS243" s="1"/>
      <c r="BT243" s="1"/>
      <c r="BU243" s="1"/>
      <c r="BV243" s="1"/>
      <c r="BW243" s="1"/>
      <c r="BX243" s="1"/>
      <c r="BY243" s="1"/>
      <c r="BZ243" s="1"/>
    </row>
    <row r="244" spans="1:78">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c r="BJ244" s="1"/>
      <c r="BK244" s="1"/>
      <c r="BL244" s="1"/>
      <c r="BM244" s="1"/>
      <c r="BN244" s="1"/>
      <c r="BO244" s="1"/>
      <c r="BP244" s="1"/>
      <c r="BQ244" s="1"/>
      <c r="BR244" s="1"/>
      <c r="BS244" s="1"/>
      <c r="BT244" s="1"/>
      <c r="BU244" s="1"/>
      <c r="BV244" s="1"/>
      <c r="BW244" s="1"/>
      <c r="BX244" s="1"/>
      <c r="BY244" s="1"/>
      <c r="BZ244" s="1"/>
    </row>
    <row r="245" spans="1:78">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c r="BJ245" s="1"/>
      <c r="BK245" s="1"/>
      <c r="BL245" s="1"/>
      <c r="BM245" s="1"/>
      <c r="BN245" s="1"/>
      <c r="BO245" s="1"/>
      <c r="BP245" s="1"/>
      <c r="BQ245" s="1"/>
      <c r="BR245" s="1"/>
      <c r="BS245" s="1"/>
      <c r="BT245" s="1"/>
      <c r="BU245" s="1"/>
      <c r="BV245" s="1"/>
      <c r="BW245" s="1"/>
      <c r="BX245" s="1"/>
      <c r="BY245" s="1"/>
      <c r="BZ245" s="1"/>
    </row>
    <row r="246" spans="1:78">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c r="BJ246" s="1"/>
      <c r="BK246" s="1"/>
      <c r="BL246" s="1"/>
      <c r="BM246" s="1"/>
      <c r="BN246" s="1"/>
      <c r="BO246" s="1"/>
      <c r="BP246" s="1"/>
      <c r="BQ246" s="1"/>
      <c r="BR246" s="1"/>
      <c r="BS246" s="1"/>
      <c r="BT246" s="1"/>
      <c r="BU246" s="1"/>
      <c r="BV246" s="1"/>
      <c r="BW246" s="1"/>
      <c r="BX246" s="1"/>
      <c r="BY246" s="1"/>
      <c r="BZ246" s="1"/>
    </row>
    <row r="247" spans="1:78">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c r="BJ247" s="1"/>
      <c r="BK247" s="1"/>
      <c r="BL247" s="1"/>
      <c r="BM247" s="1"/>
      <c r="BN247" s="1"/>
      <c r="BO247" s="1"/>
      <c r="BP247" s="1"/>
      <c r="BQ247" s="1"/>
      <c r="BR247" s="1"/>
      <c r="BS247" s="1"/>
      <c r="BT247" s="1"/>
      <c r="BU247" s="1"/>
      <c r="BV247" s="1"/>
      <c r="BW247" s="1"/>
      <c r="BX247" s="1"/>
      <c r="BY247" s="1"/>
      <c r="BZ247" s="1"/>
    </row>
    <row r="248" spans="1:7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c r="BJ248" s="1"/>
      <c r="BK248" s="1"/>
      <c r="BL248" s="1"/>
      <c r="BM248" s="1"/>
      <c r="BN248" s="1"/>
      <c r="BO248" s="1"/>
      <c r="BP248" s="1"/>
      <c r="BQ248" s="1"/>
      <c r="BR248" s="1"/>
      <c r="BS248" s="1"/>
      <c r="BT248" s="1"/>
      <c r="BU248" s="1"/>
      <c r="BV248" s="1"/>
      <c r="BW248" s="1"/>
      <c r="BX248" s="1"/>
      <c r="BY248" s="1"/>
      <c r="BZ248" s="1"/>
    </row>
    <row r="249" spans="1:78">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c r="BJ249" s="1"/>
      <c r="BK249" s="1"/>
      <c r="BL249" s="1"/>
      <c r="BM249" s="1"/>
      <c r="BN249" s="1"/>
      <c r="BO249" s="1"/>
      <c r="BP249" s="1"/>
      <c r="BQ249" s="1"/>
      <c r="BR249" s="1"/>
      <c r="BS249" s="1"/>
      <c r="BT249" s="1"/>
      <c r="BU249" s="1"/>
      <c r="BV249" s="1"/>
      <c r="BW249" s="1"/>
      <c r="BX249" s="1"/>
      <c r="BY249" s="1"/>
      <c r="BZ249" s="1"/>
    </row>
    <row r="250" spans="1:78">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c r="BJ250" s="1"/>
      <c r="BK250" s="1"/>
      <c r="BL250" s="1"/>
      <c r="BM250" s="1"/>
      <c r="BN250" s="1"/>
      <c r="BO250" s="1"/>
      <c r="BP250" s="1"/>
      <c r="BQ250" s="1"/>
      <c r="BR250" s="1"/>
      <c r="BS250" s="1"/>
      <c r="BT250" s="1"/>
      <c r="BU250" s="1"/>
      <c r="BV250" s="1"/>
      <c r="BW250" s="1"/>
      <c r="BX250" s="1"/>
      <c r="BY250" s="1"/>
      <c r="BZ250" s="1"/>
    </row>
    <row r="251" spans="1:78">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c r="BJ251" s="1"/>
      <c r="BK251" s="1"/>
      <c r="BL251" s="1"/>
      <c r="BM251" s="1"/>
      <c r="BN251" s="1"/>
      <c r="BO251" s="1"/>
      <c r="BP251" s="1"/>
      <c r="BQ251" s="1"/>
      <c r="BR251" s="1"/>
      <c r="BS251" s="1"/>
      <c r="BT251" s="1"/>
      <c r="BU251" s="1"/>
      <c r="BV251" s="1"/>
      <c r="BW251" s="1"/>
      <c r="BX251" s="1"/>
      <c r="BY251" s="1"/>
      <c r="BZ251" s="1"/>
    </row>
    <row r="252" spans="1:78">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c r="BJ252" s="1"/>
      <c r="BK252" s="1"/>
      <c r="BL252" s="1"/>
      <c r="BM252" s="1"/>
      <c r="BN252" s="1"/>
      <c r="BO252" s="1"/>
      <c r="BP252" s="1"/>
      <c r="BQ252" s="1"/>
      <c r="BR252" s="1"/>
      <c r="BS252" s="1"/>
      <c r="BT252" s="1"/>
      <c r="BU252" s="1"/>
      <c r="BV252" s="1"/>
      <c r="BW252" s="1"/>
      <c r="BX252" s="1"/>
      <c r="BY252" s="1"/>
      <c r="BZ252" s="1"/>
    </row>
    <row r="253" spans="1:78">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c r="BJ253" s="1"/>
      <c r="BK253" s="1"/>
      <c r="BL253" s="1"/>
      <c r="BM253" s="1"/>
      <c r="BN253" s="1"/>
      <c r="BO253" s="1"/>
      <c r="BP253" s="1"/>
      <c r="BQ253" s="1"/>
      <c r="BR253" s="1"/>
      <c r="BS253" s="1"/>
      <c r="BT253" s="1"/>
      <c r="BU253" s="1"/>
      <c r="BV253" s="1"/>
      <c r="BW253" s="1"/>
      <c r="BX253" s="1"/>
      <c r="BY253" s="1"/>
      <c r="BZ253" s="1"/>
    </row>
    <row r="254" spans="1:78">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c r="BJ254" s="1"/>
      <c r="BK254" s="1"/>
      <c r="BL254" s="1"/>
      <c r="BM254" s="1"/>
      <c r="BN254" s="1"/>
      <c r="BO254" s="1"/>
      <c r="BP254" s="1"/>
      <c r="BQ254" s="1"/>
      <c r="BR254" s="1"/>
      <c r="BS254" s="1"/>
      <c r="BT254" s="1"/>
      <c r="BU254" s="1"/>
      <c r="BV254" s="1"/>
      <c r="BW254" s="1"/>
      <c r="BX254" s="1"/>
      <c r="BY254" s="1"/>
      <c r="BZ254" s="1"/>
    </row>
    <row r="255" spans="1:78">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c r="AO255" s="1"/>
      <c r="AP255" s="1"/>
      <c r="AQ255" s="1"/>
      <c r="AR255" s="1"/>
      <c r="AS255" s="1"/>
      <c r="AT255" s="1"/>
      <c r="AU255" s="1"/>
      <c r="AV255" s="1"/>
      <c r="AW255" s="1"/>
      <c r="AX255" s="1"/>
      <c r="AY255" s="1"/>
      <c r="AZ255" s="1"/>
      <c r="BA255" s="1"/>
      <c r="BB255" s="1"/>
      <c r="BC255" s="1"/>
      <c r="BD255" s="1"/>
      <c r="BE255" s="1"/>
      <c r="BF255" s="1"/>
      <c r="BG255" s="1"/>
      <c r="BH255" s="1"/>
      <c r="BI255" s="1"/>
      <c r="BJ255" s="1"/>
      <c r="BK255" s="1"/>
      <c r="BL255" s="1"/>
      <c r="BM255" s="1"/>
      <c r="BN255" s="1"/>
      <c r="BO255" s="1"/>
      <c r="BP255" s="1"/>
      <c r="BQ255" s="1"/>
      <c r="BR255" s="1"/>
      <c r="BS255" s="1"/>
      <c r="BT255" s="1"/>
      <c r="BU255" s="1"/>
      <c r="BV255" s="1"/>
      <c r="BW255" s="1"/>
      <c r="BX255" s="1"/>
      <c r="BY255" s="1"/>
      <c r="BZ255" s="1"/>
    </row>
    <row r="256" spans="1:78">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c r="BJ256" s="1"/>
      <c r="BK256" s="1"/>
      <c r="BL256" s="1"/>
      <c r="BM256" s="1"/>
      <c r="BN256" s="1"/>
      <c r="BO256" s="1"/>
      <c r="BP256" s="1"/>
      <c r="BQ256" s="1"/>
      <c r="BR256" s="1"/>
      <c r="BS256" s="1"/>
      <c r="BT256" s="1"/>
      <c r="BU256" s="1"/>
      <c r="BV256" s="1"/>
      <c r="BW256" s="1"/>
      <c r="BX256" s="1"/>
      <c r="BY256" s="1"/>
      <c r="BZ256" s="1"/>
    </row>
    <row r="257" spans="1:78">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c r="BJ257" s="1"/>
      <c r="BK257" s="1"/>
      <c r="BL257" s="1"/>
      <c r="BM257" s="1"/>
      <c r="BN257" s="1"/>
      <c r="BO257" s="1"/>
      <c r="BP257" s="1"/>
      <c r="BQ257" s="1"/>
      <c r="BR257" s="1"/>
      <c r="BS257" s="1"/>
      <c r="BT257" s="1"/>
      <c r="BU257" s="1"/>
      <c r="BV257" s="1"/>
      <c r="BW257" s="1"/>
      <c r="BX257" s="1"/>
      <c r="BY257" s="1"/>
      <c r="BZ257" s="1"/>
    </row>
    <row r="258" spans="1:7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c r="AO258" s="1"/>
      <c r="AP258" s="1"/>
      <c r="AQ258" s="1"/>
      <c r="AR258" s="1"/>
      <c r="AS258" s="1"/>
      <c r="AT258" s="1"/>
      <c r="AU258" s="1"/>
      <c r="AV258" s="1"/>
      <c r="AW258" s="1"/>
      <c r="AX258" s="1"/>
      <c r="AY258" s="1"/>
      <c r="AZ258" s="1"/>
      <c r="BA258" s="1"/>
      <c r="BB258" s="1"/>
      <c r="BC258" s="1"/>
      <c r="BD258" s="1"/>
      <c r="BE258" s="1"/>
      <c r="BF258" s="1"/>
      <c r="BG258" s="1"/>
      <c r="BH258" s="1"/>
      <c r="BI258" s="1"/>
      <c r="BJ258" s="1"/>
      <c r="BK258" s="1"/>
      <c r="BL258" s="1"/>
      <c r="BM258" s="1"/>
      <c r="BN258" s="1"/>
      <c r="BO258" s="1"/>
      <c r="BP258" s="1"/>
      <c r="BQ258" s="1"/>
      <c r="BR258" s="1"/>
      <c r="BS258" s="1"/>
      <c r="BT258" s="1"/>
      <c r="BU258" s="1"/>
      <c r="BV258" s="1"/>
      <c r="BW258" s="1"/>
      <c r="BX258" s="1"/>
      <c r="BY258" s="1"/>
      <c r="BZ258" s="1"/>
    </row>
    <row r="259" spans="1:78">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c r="AO259" s="1"/>
      <c r="AP259" s="1"/>
      <c r="AQ259" s="1"/>
      <c r="AR259" s="1"/>
      <c r="AS259" s="1"/>
      <c r="AT259" s="1"/>
      <c r="AU259" s="1"/>
      <c r="AV259" s="1"/>
      <c r="AW259" s="1"/>
      <c r="AX259" s="1"/>
      <c r="AY259" s="1"/>
      <c r="AZ259" s="1"/>
      <c r="BA259" s="1"/>
      <c r="BB259" s="1"/>
      <c r="BC259" s="1"/>
      <c r="BD259" s="1"/>
      <c r="BE259" s="1"/>
      <c r="BF259" s="1"/>
      <c r="BG259" s="1"/>
      <c r="BH259" s="1"/>
      <c r="BI259" s="1"/>
      <c r="BJ259" s="1"/>
      <c r="BK259" s="1"/>
      <c r="BL259" s="1"/>
      <c r="BM259" s="1"/>
      <c r="BN259" s="1"/>
      <c r="BO259" s="1"/>
      <c r="BP259" s="1"/>
      <c r="BQ259" s="1"/>
      <c r="BR259" s="1"/>
      <c r="BS259" s="1"/>
      <c r="BT259" s="1"/>
      <c r="BU259" s="1"/>
      <c r="BV259" s="1"/>
      <c r="BW259" s="1"/>
      <c r="BX259" s="1"/>
      <c r="BY259" s="1"/>
      <c r="BZ259" s="1"/>
    </row>
    <row r="260" spans="1:78">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c r="BJ260" s="1"/>
      <c r="BK260" s="1"/>
      <c r="BL260" s="1"/>
      <c r="BM260" s="1"/>
      <c r="BN260" s="1"/>
      <c r="BO260" s="1"/>
      <c r="BP260" s="1"/>
      <c r="BQ260" s="1"/>
      <c r="BR260" s="1"/>
      <c r="BS260" s="1"/>
      <c r="BT260" s="1"/>
      <c r="BU260" s="1"/>
      <c r="BV260" s="1"/>
      <c r="BW260" s="1"/>
      <c r="BX260" s="1"/>
      <c r="BY260" s="1"/>
      <c r="BZ260" s="1"/>
    </row>
    <row r="261" spans="1:78">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c r="BJ261" s="1"/>
      <c r="BK261" s="1"/>
      <c r="BL261" s="1"/>
      <c r="BM261" s="1"/>
      <c r="BN261" s="1"/>
      <c r="BO261" s="1"/>
      <c r="BP261" s="1"/>
      <c r="BQ261" s="1"/>
      <c r="BR261" s="1"/>
      <c r="BS261" s="1"/>
      <c r="BT261" s="1"/>
      <c r="BU261" s="1"/>
      <c r="BV261" s="1"/>
      <c r="BW261" s="1"/>
      <c r="BX261" s="1"/>
      <c r="BY261" s="1"/>
      <c r="BZ261" s="1"/>
    </row>
    <row r="262" spans="1:78">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c r="BJ262" s="1"/>
      <c r="BK262" s="1"/>
      <c r="BL262" s="1"/>
      <c r="BM262" s="1"/>
      <c r="BN262" s="1"/>
      <c r="BO262" s="1"/>
      <c r="BP262" s="1"/>
      <c r="BQ262" s="1"/>
      <c r="BR262" s="1"/>
      <c r="BS262" s="1"/>
      <c r="BT262" s="1"/>
      <c r="BU262" s="1"/>
      <c r="BV262" s="1"/>
      <c r="BW262" s="1"/>
      <c r="BX262" s="1"/>
      <c r="BY262" s="1"/>
      <c r="BZ262" s="1"/>
    </row>
    <row r="263" spans="1:78">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c r="BJ263" s="1"/>
      <c r="BK263" s="1"/>
      <c r="BL263" s="1"/>
      <c r="BM263" s="1"/>
      <c r="BN263" s="1"/>
      <c r="BO263" s="1"/>
      <c r="BP263" s="1"/>
      <c r="BQ263" s="1"/>
      <c r="BR263" s="1"/>
      <c r="BS263" s="1"/>
      <c r="BT263" s="1"/>
      <c r="BU263" s="1"/>
      <c r="BV263" s="1"/>
      <c r="BW263" s="1"/>
      <c r="BX263" s="1"/>
      <c r="BY263" s="1"/>
      <c r="BZ263" s="1"/>
    </row>
    <row r="264" spans="1:78">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c r="BJ264" s="1"/>
      <c r="BK264" s="1"/>
      <c r="BL264" s="1"/>
      <c r="BM264" s="1"/>
      <c r="BN264" s="1"/>
      <c r="BO264" s="1"/>
      <c r="BP264" s="1"/>
      <c r="BQ264" s="1"/>
      <c r="BR264" s="1"/>
      <c r="BS264" s="1"/>
      <c r="BT264" s="1"/>
      <c r="BU264" s="1"/>
      <c r="BV264" s="1"/>
      <c r="BW264" s="1"/>
      <c r="BX264" s="1"/>
      <c r="BY264" s="1"/>
      <c r="BZ264" s="1"/>
    </row>
    <row r="265" spans="1:78">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c r="AO265" s="1"/>
      <c r="AP265" s="1"/>
      <c r="AQ265" s="1"/>
      <c r="AR265" s="1"/>
      <c r="AS265" s="1"/>
      <c r="AT265" s="1"/>
      <c r="AU265" s="1"/>
      <c r="AV265" s="1"/>
      <c r="AW265" s="1"/>
      <c r="AX265" s="1"/>
      <c r="AY265" s="1"/>
      <c r="AZ265" s="1"/>
      <c r="BA265" s="1"/>
      <c r="BB265" s="1"/>
      <c r="BC265" s="1"/>
      <c r="BD265" s="1"/>
      <c r="BE265" s="1"/>
      <c r="BF265" s="1"/>
      <c r="BG265" s="1"/>
      <c r="BH265" s="1"/>
      <c r="BI265" s="1"/>
      <c r="BJ265" s="1"/>
      <c r="BK265" s="1"/>
      <c r="BL265" s="1"/>
      <c r="BM265" s="1"/>
      <c r="BN265" s="1"/>
      <c r="BO265" s="1"/>
      <c r="BP265" s="1"/>
      <c r="BQ265" s="1"/>
      <c r="BR265" s="1"/>
      <c r="BS265" s="1"/>
      <c r="BT265" s="1"/>
      <c r="BU265" s="1"/>
      <c r="BV265" s="1"/>
      <c r="BW265" s="1"/>
      <c r="BX265" s="1"/>
      <c r="BY265" s="1"/>
      <c r="BZ265" s="1"/>
    </row>
    <row r="266" spans="1:78">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c r="BJ266" s="1"/>
      <c r="BK266" s="1"/>
      <c r="BL266" s="1"/>
      <c r="BM266" s="1"/>
      <c r="BN266" s="1"/>
      <c r="BO266" s="1"/>
      <c r="BP266" s="1"/>
      <c r="BQ266" s="1"/>
      <c r="BR266" s="1"/>
      <c r="BS266" s="1"/>
      <c r="BT266" s="1"/>
      <c r="BU266" s="1"/>
      <c r="BV266" s="1"/>
      <c r="BW266" s="1"/>
      <c r="BX266" s="1"/>
      <c r="BY266" s="1"/>
      <c r="BZ266" s="1"/>
    </row>
    <row r="267" spans="1:78">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c r="AO267" s="1"/>
      <c r="AP267" s="1"/>
      <c r="AQ267" s="1"/>
      <c r="AR267" s="1"/>
      <c r="AS267" s="1"/>
      <c r="AT267" s="1"/>
      <c r="AU267" s="1"/>
      <c r="AV267" s="1"/>
      <c r="AW267" s="1"/>
      <c r="AX267" s="1"/>
      <c r="AY267" s="1"/>
      <c r="AZ267" s="1"/>
      <c r="BA267" s="1"/>
      <c r="BB267" s="1"/>
      <c r="BC267" s="1"/>
      <c r="BD267" s="1"/>
      <c r="BE267" s="1"/>
      <c r="BF267" s="1"/>
      <c r="BG267" s="1"/>
      <c r="BH267" s="1"/>
      <c r="BI267" s="1"/>
      <c r="BJ267" s="1"/>
      <c r="BK267" s="1"/>
      <c r="BL267" s="1"/>
      <c r="BM267" s="1"/>
      <c r="BN267" s="1"/>
      <c r="BO267" s="1"/>
      <c r="BP267" s="1"/>
      <c r="BQ267" s="1"/>
      <c r="BR267" s="1"/>
      <c r="BS267" s="1"/>
      <c r="BT267" s="1"/>
      <c r="BU267" s="1"/>
      <c r="BV267" s="1"/>
      <c r="BW267" s="1"/>
      <c r="BX267" s="1"/>
      <c r="BY267" s="1"/>
      <c r="BZ267" s="1"/>
    </row>
    <row r="268" spans="1:7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c r="AO268" s="1"/>
      <c r="AP268" s="1"/>
      <c r="AQ268" s="1"/>
      <c r="AR268" s="1"/>
      <c r="AS268" s="1"/>
      <c r="AT268" s="1"/>
      <c r="AU268" s="1"/>
      <c r="AV268" s="1"/>
      <c r="AW268" s="1"/>
      <c r="AX268" s="1"/>
      <c r="AY268" s="1"/>
      <c r="AZ268" s="1"/>
      <c r="BA268" s="1"/>
      <c r="BB268" s="1"/>
      <c r="BC268" s="1"/>
      <c r="BD268" s="1"/>
      <c r="BE268" s="1"/>
      <c r="BF268" s="1"/>
      <c r="BG268" s="1"/>
      <c r="BH268" s="1"/>
      <c r="BI268" s="1"/>
      <c r="BJ268" s="1"/>
      <c r="BK268" s="1"/>
      <c r="BL268" s="1"/>
      <c r="BM268" s="1"/>
      <c r="BN268" s="1"/>
      <c r="BO268" s="1"/>
      <c r="BP268" s="1"/>
      <c r="BQ268" s="1"/>
      <c r="BR268" s="1"/>
      <c r="BS268" s="1"/>
      <c r="BT268" s="1"/>
      <c r="BU268" s="1"/>
      <c r="BV268" s="1"/>
      <c r="BW268" s="1"/>
      <c r="BX268" s="1"/>
      <c r="BY268" s="1"/>
      <c r="BZ268" s="1"/>
    </row>
    <row r="269" spans="1:78">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c r="BJ269" s="1"/>
      <c r="BK269" s="1"/>
      <c r="BL269" s="1"/>
      <c r="BM269" s="1"/>
      <c r="BN269" s="1"/>
      <c r="BO269" s="1"/>
      <c r="BP269" s="1"/>
      <c r="BQ269" s="1"/>
      <c r="BR269" s="1"/>
      <c r="BS269" s="1"/>
      <c r="BT269" s="1"/>
      <c r="BU269" s="1"/>
      <c r="BV269" s="1"/>
      <c r="BW269" s="1"/>
      <c r="BX269" s="1"/>
      <c r="BY269" s="1"/>
      <c r="BZ269" s="1"/>
    </row>
    <row r="270" spans="1:78">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c r="BJ270" s="1"/>
      <c r="BK270" s="1"/>
      <c r="BL270" s="1"/>
      <c r="BM270" s="1"/>
      <c r="BN270" s="1"/>
      <c r="BO270" s="1"/>
      <c r="BP270" s="1"/>
      <c r="BQ270" s="1"/>
      <c r="BR270" s="1"/>
      <c r="BS270" s="1"/>
      <c r="BT270" s="1"/>
      <c r="BU270" s="1"/>
      <c r="BV270" s="1"/>
      <c r="BW270" s="1"/>
      <c r="BX270" s="1"/>
      <c r="BY270" s="1"/>
      <c r="BZ270" s="1"/>
    </row>
    <row r="271" spans="1:78">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c r="BJ271" s="1"/>
      <c r="BK271" s="1"/>
      <c r="BL271" s="1"/>
      <c r="BM271" s="1"/>
      <c r="BN271" s="1"/>
      <c r="BO271" s="1"/>
      <c r="BP271" s="1"/>
      <c r="BQ271" s="1"/>
      <c r="BR271" s="1"/>
      <c r="BS271" s="1"/>
      <c r="BT271" s="1"/>
      <c r="BU271" s="1"/>
      <c r="BV271" s="1"/>
      <c r="BW271" s="1"/>
      <c r="BX271" s="1"/>
      <c r="BY271" s="1"/>
      <c r="BZ271" s="1"/>
    </row>
    <row r="272" spans="1:78">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c r="BJ272" s="1"/>
      <c r="BK272" s="1"/>
      <c r="BL272" s="1"/>
      <c r="BM272" s="1"/>
      <c r="BN272" s="1"/>
      <c r="BO272" s="1"/>
      <c r="BP272" s="1"/>
      <c r="BQ272" s="1"/>
      <c r="BR272" s="1"/>
      <c r="BS272" s="1"/>
      <c r="BT272" s="1"/>
      <c r="BU272" s="1"/>
      <c r="BV272" s="1"/>
      <c r="BW272" s="1"/>
      <c r="BX272" s="1"/>
      <c r="BY272" s="1"/>
      <c r="BZ272" s="1"/>
    </row>
    <row r="273" spans="1:78">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c r="BJ273" s="1"/>
      <c r="BK273" s="1"/>
      <c r="BL273" s="1"/>
      <c r="BM273" s="1"/>
      <c r="BN273" s="1"/>
      <c r="BO273" s="1"/>
      <c r="BP273" s="1"/>
      <c r="BQ273" s="1"/>
      <c r="BR273" s="1"/>
      <c r="BS273" s="1"/>
      <c r="BT273" s="1"/>
      <c r="BU273" s="1"/>
      <c r="BV273" s="1"/>
      <c r="BW273" s="1"/>
      <c r="BX273" s="1"/>
      <c r="BY273" s="1"/>
      <c r="BZ273" s="1"/>
    </row>
    <row r="274" spans="1:78">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c r="BJ274" s="1"/>
      <c r="BK274" s="1"/>
      <c r="BL274" s="1"/>
      <c r="BM274" s="1"/>
      <c r="BN274" s="1"/>
      <c r="BO274" s="1"/>
      <c r="BP274" s="1"/>
      <c r="BQ274" s="1"/>
      <c r="BR274" s="1"/>
      <c r="BS274" s="1"/>
      <c r="BT274" s="1"/>
      <c r="BU274" s="1"/>
      <c r="BV274" s="1"/>
      <c r="BW274" s="1"/>
      <c r="BX274" s="1"/>
      <c r="BY274" s="1"/>
      <c r="BZ274" s="1"/>
    </row>
    <row r="275" spans="1:78">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c r="AO275" s="1"/>
      <c r="AP275" s="1"/>
      <c r="AQ275" s="1"/>
      <c r="AR275" s="1"/>
      <c r="AS275" s="1"/>
      <c r="AT275" s="1"/>
      <c r="AU275" s="1"/>
      <c r="AV275" s="1"/>
      <c r="AW275" s="1"/>
      <c r="AX275" s="1"/>
      <c r="AY275" s="1"/>
      <c r="AZ275" s="1"/>
      <c r="BA275" s="1"/>
      <c r="BB275" s="1"/>
      <c r="BC275" s="1"/>
      <c r="BD275" s="1"/>
      <c r="BE275" s="1"/>
      <c r="BF275" s="1"/>
      <c r="BG275" s="1"/>
      <c r="BH275" s="1"/>
      <c r="BI275" s="1"/>
      <c r="BJ275" s="1"/>
      <c r="BK275" s="1"/>
      <c r="BL275" s="1"/>
      <c r="BM275" s="1"/>
      <c r="BN275" s="1"/>
      <c r="BO275" s="1"/>
      <c r="BP275" s="1"/>
      <c r="BQ275" s="1"/>
      <c r="BR275" s="1"/>
      <c r="BS275" s="1"/>
      <c r="BT275" s="1"/>
      <c r="BU275" s="1"/>
      <c r="BV275" s="1"/>
      <c r="BW275" s="1"/>
      <c r="BX275" s="1"/>
      <c r="BY275" s="1"/>
      <c r="BZ275" s="1"/>
    </row>
    <row r="276" spans="1:78">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c r="BJ276" s="1"/>
      <c r="BK276" s="1"/>
      <c r="BL276" s="1"/>
      <c r="BM276" s="1"/>
      <c r="BN276" s="1"/>
      <c r="BO276" s="1"/>
      <c r="BP276" s="1"/>
      <c r="BQ276" s="1"/>
      <c r="BR276" s="1"/>
      <c r="BS276" s="1"/>
      <c r="BT276" s="1"/>
      <c r="BU276" s="1"/>
      <c r="BV276" s="1"/>
      <c r="BW276" s="1"/>
      <c r="BX276" s="1"/>
      <c r="BY276" s="1"/>
      <c r="BZ276" s="1"/>
    </row>
    <row r="277" spans="1:78">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c r="AO277" s="1"/>
      <c r="AP277" s="1"/>
      <c r="AQ277" s="1"/>
      <c r="AR277" s="1"/>
      <c r="AS277" s="1"/>
      <c r="AT277" s="1"/>
      <c r="AU277" s="1"/>
      <c r="AV277" s="1"/>
      <c r="AW277" s="1"/>
      <c r="AX277" s="1"/>
      <c r="AY277" s="1"/>
      <c r="AZ277" s="1"/>
      <c r="BA277" s="1"/>
      <c r="BB277" s="1"/>
      <c r="BC277" s="1"/>
      <c r="BD277" s="1"/>
      <c r="BE277" s="1"/>
      <c r="BF277" s="1"/>
      <c r="BG277" s="1"/>
      <c r="BH277" s="1"/>
      <c r="BI277" s="1"/>
      <c r="BJ277" s="1"/>
      <c r="BK277" s="1"/>
      <c r="BL277" s="1"/>
      <c r="BM277" s="1"/>
      <c r="BN277" s="1"/>
      <c r="BO277" s="1"/>
      <c r="BP277" s="1"/>
      <c r="BQ277" s="1"/>
      <c r="BR277" s="1"/>
      <c r="BS277" s="1"/>
      <c r="BT277" s="1"/>
      <c r="BU277" s="1"/>
      <c r="BV277" s="1"/>
      <c r="BW277" s="1"/>
      <c r="BX277" s="1"/>
      <c r="BY277" s="1"/>
      <c r="BZ277" s="1"/>
    </row>
    <row r="278" spans="1: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c r="BJ278" s="1"/>
      <c r="BK278" s="1"/>
      <c r="BL278" s="1"/>
      <c r="BM278" s="1"/>
      <c r="BN278" s="1"/>
      <c r="BO278" s="1"/>
      <c r="BP278" s="1"/>
      <c r="BQ278" s="1"/>
      <c r="BR278" s="1"/>
      <c r="BS278" s="1"/>
      <c r="BT278" s="1"/>
      <c r="BU278" s="1"/>
      <c r="BV278" s="1"/>
      <c r="BW278" s="1"/>
      <c r="BX278" s="1"/>
      <c r="BY278" s="1"/>
      <c r="BZ278" s="1"/>
    </row>
    <row r="279" spans="1:78">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c r="BJ279" s="1"/>
      <c r="BK279" s="1"/>
      <c r="BL279" s="1"/>
      <c r="BM279" s="1"/>
      <c r="BN279" s="1"/>
      <c r="BO279" s="1"/>
      <c r="BP279" s="1"/>
      <c r="BQ279" s="1"/>
      <c r="BR279" s="1"/>
      <c r="BS279" s="1"/>
      <c r="BT279" s="1"/>
      <c r="BU279" s="1"/>
      <c r="BV279" s="1"/>
      <c r="BW279" s="1"/>
      <c r="BX279" s="1"/>
      <c r="BY279" s="1"/>
      <c r="BZ279" s="1"/>
    </row>
    <row r="280" spans="1:78">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c r="BJ280" s="1"/>
      <c r="BK280" s="1"/>
      <c r="BL280" s="1"/>
      <c r="BM280" s="1"/>
      <c r="BN280" s="1"/>
      <c r="BO280" s="1"/>
      <c r="BP280" s="1"/>
      <c r="BQ280" s="1"/>
      <c r="BR280" s="1"/>
      <c r="BS280" s="1"/>
      <c r="BT280" s="1"/>
      <c r="BU280" s="1"/>
      <c r="BV280" s="1"/>
      <c r="BW280" s="1"/>
      <c r="BX280" s="1"/>
      <c r="BY280" s="1"/>
      <c r="BZ280" s="1"/>
    </row>
    <row r="281" spans="1:78">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c r="BJ281" s="1"/>
      <c r="BK281" s="1"/>
      <c r="BL281" s="1"/>
      <c r="BM281" s="1"/>
      <c r="BN281" s="1"/>
      <c r="BO281" s="1"/>
      <c r="BP281" s="1"/>
      <c r="BQ281" s="1"/>
      <c r="BR281" s="1"/>
      <c r="BS281" s="1"/>
      <c r="BT281" s="1"/>
      <c r="BU281" s="1"/>
      <c r="BV281" s="1"/>
      <c r="BW281" s="1"/>
      <c r="BX281" s="1"/>
      <c r="BY281" s="1"/>
      <c r="BZ281" s="1"/>
    </row>
    <row r="282" spans="1:78">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c r="BJ282" s="1"/>
      <c r="BK282" s="1"/>
      <c r="BL282" s="1"/>
      <c r="BM282" s="1"/>
      <c r="BN282" s="1"/>
      <c r="BO282" s="1"/>
      <c r="BP282" s="1"/>
      <c r="BQ282" s="1"/>
      <c r="BR282" s="1"/>
      <c r="BS282" s="1"/>
      <c r="BT282" s="1"/>
      <c r="BU282" s="1"/>
      <c r="BV282" s="1"/>
      <c r="BW282" s="1"/>
      <c r="BX282" s="1"/>
      <c r="BY282" s="1"/>
      <c r="BZ282" s="1"/>
    </row>
    <row r="283" spans="1:78">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c r="AO283" s="1"/>
      <c r="AP283" s="1"/>
      <c r="AQ283" s="1"/>
      <c r="AR283" s="1"/>
      <c r="AS283" s="1"/>
      <c r="AT283" s="1"/>
      <c r="AU283" s="1"/>
      <c r="AV283" s="1"/>
      <c r="AW283" s="1"/>
      <c r="AX283" s="1"/>
      <c r="AY283" s="1"/>
      <c r="AZ283" s="1"/>
      <c r="BA283" s="1"/>
      <c r="BB283" s="1"/>
      <c r="BC283" s="1"/>
      <c r="BD283" s="1"/>
      <c r="BE283" s="1"/>
      <c r="BF283" s="1"/>
      <c r="BG283" s="1"/>
      <c r="BH283" s="1"/>
      <c r="BI283" s="1"/>
      <c r="BJ283" s="1"/>
      <c r="BK283" s="1"/>
      <c r="BL283" s="1"/>
      <c r="BM283" s="1"/>
      <c r="BN283" s="1"/>
      <c r="BO283" s="1"/>
      <c r="BP283" s="1"/>
      <c r="BQ283" s="1"/>
      <c r="BR283" s="1"/>
      <c r="BS283" s="1"/>
      <c r="BT283" s="1"/>
      <c r="BU283" s="1"/>
      <c r="BV283" s="1"/>
      <c r="BW283" s="1"/>
      <c r="BX283" s="1"/>
      <c r="BY283" s="1"/>
      <c r="BZ283" s="1"/>
    </row>
    <row r="284" spans="1:78">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c r="BJ284" s="1"/>
      <c r="BK284" s="1"/>
      <c r="BL284" s="1"/>
      <c r="BM284" s="1"/>
      <c r="BN284" s="1"/>
      <c r="BO284" s="1"/>
      <c r="BP284" s="1"/>
      <c r="BQ284" s="1"/>
      <c r="BR284" s="1"/>
      <c r="BS284" s="1"/>
      <c r="BT284" s="1"/>
      <c r="BU284" s="1"/>
      <c r="BV284" s="1"/>
      <c r="BW284" s="1"/>
      <c r="BX284" s="1"/>
      <c r="BY284" s="1"/>
      <c r="BZ284" s="1"/>
    </row>
    <row r="285" spans="1:78">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c r="BJ285" s="1"/>
      <c r="BK285" s="1"/>
      <c r="BL285" s="1"/>
      <c r="BM285" s="1"/>
      <c r="BN285" s="1"/>
      <c r="BO285" s="1"/>
      <c r="BP285" s="1"/>
      <c r="BQ285" s="1"/>
      <c r="BR285" s="1"/>
      <c r="BS285" s="1"/>
      <c r="BT285" s="1"/>
      <c r="BU285" s="1"/>
      <c r="BV285" s="1"/>
      <c r="BW285" s="1"/>
      <c r="BX285" s="1"/>
      <c r="BY285" s="1"/>
      <c r="BZ285" s="1"/>
    </row>
    <row r="286" spans="1:78">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c r="AO286" s="1"/>
      <c r="AP286" s="1"/>
      <c r="AQ286" s="1"/>
      <c r="AR286" s="1"/>
      <c r="AS286" s="1"/>
      <c r="AT286" s="1"/>
      <c r="AU286" s="1"/>
      <c r="AV286" s="1"/>
      <c r="AW286" s="1"/>
      <c r="AX286" s="1"/>
      <c r="AY286" s="1"/>
      <c r="AZ286" s="1"/>
      <c r="BA286" s="1"/>
      <c r="BB286" s="1"/>
      <c r="BC286" s="1"/>
      <c r="BD286" s="1"/>
      <c r="BE286" s="1"/>
      <c r="BF286" s="1"/>
      <c r="BG286" s="1"/>
      <c r="BH286" s="1"/>
      <c r="BI286" s="1"/>
      <c r="BJ286" s="1"/>
      <c r="BK286" s="1"/>
      <c r="BL286" s="1"/>
      <c r="BM286" s="1"/>
      <c r="BN286" s="1"/>
      <c r="BO286" s="1"/>
      <c r="BP286" s="1"/>
      <c r="BQ286" s="1"/>
      <c r="BR286" s="1"/>
      <c r="BS286" s="1"/>
      <c r="BT286" s="1"/>
      <c r="BU286" s="1"/>
      <c r="BV286" s="1"/>
      <c r="BW286" s="1"/>
      <c r="BX286" s="1"/>
      <c r="BY286" s="1"/>
      <c r="BZ286" s="1"/>
    </row>
    <row r="287" spans="1:78">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c r="BJ287" s="1"/>
      <c r="BK287" s="1"/>
      <c r="BL287" s="1"/>
      <c r="BM287" s="1"/>
      <c r="BN287" s="1"/>
      <c r="BO287" s="1"/>
      <c r="BP287" s="1"/>
      <c r="BQ287" s="1"/>
      <c r="BR287" s="1"/>
      <c r="BS287" s="1"/>
      <c r="BT287" s="1"/>
      <c r="BU287" s="1"/>
      <c r="BV287" s="1"/>
      <c r="BW287" s="1"/>
      <c r="BX287" s="1"/>
      <c r="BY287" s="1"/>
      <c r="BZ287" s="1"/>
    </row>
    <row r="288" spans="1:7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c r="BJ288" s="1"/>
      <c r="BK288" s="1"/>
      <c r="BL288" s="1"/>
      <c r="BM288" s="1"/>
      <c r="BN288" s="1"/>
      <c r="BO288" s="1"/>
      <c r="BP288" s="1"/>
      <c r="BQ288" s="1"/>
      <c r="BR288" s="1"/>
      <c r="BS288" s="1"/>
      <c r="BT288" s="1"/>
      <c r="BU288" s="1"/>
      <c r="BV288" s="1"/>
      <c r="BW288" s="1"/>
      <c r="BX288" s="1"/>
      <c r="BY288" s="1"/>
      <c r="BZ288" s="1"/>
    </row>
    <row r="289" spans="1:78">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c r="BJ289" s="1"/>
      <c r="BK289" s="1"/>
      <c r="BL289" s="1"/>
      <c r="BM289" s="1"/>
      <c r="BN289" s="1"/>
      <c r="BO289" s="1"/>
      <c r="BP289" s="1"/>
      <c r="BQ289" s="1"/>
      <c r="BR289" s="1"/>
      <c r="BS289" s="1"/>
      <c r="BT289" s="1"/>
      <c r="BU289" s="1"/>
      <c r="BV289" s="1"/>
      <c r="BW289" s="1"/>
      <c r="BX289" s="1"/>
      <c r="BY289" s="1"/>
      <c r="BZ289" s="1"/>
    </row>
    <row r="290" spans="1:78">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c r="AO290" s="1"/>
      <c r="AP290" s="1"/>
      <c r="AQ290" s="1"/>
      <c r="AR290" s="1"/>
      <c r="AS290" s="1"/>
      <c r="AT290" s="1"/>
      <c r="AU290" s="1"/>
      <c r="AV290" s="1"/>
      <c r="AW290" s="1"/>
      <c r="AX290" s="1"/>
      <c r="AY290" s="1"/>
      <c r="AZ290" s="1"/>
      <c r="BA290" s="1"/>
      <c r="BB290" s="1"/>
      <c r="BC290" s="1"/>
      <c r="BD290" s="1"/>
      <c r="BE290" s="1"/>
      <c r="BF290" s="1"/>
      <c r="BG290" s="1"/>
      <c r="BH290" s="1"/>
      <c r="BI290" s="1"/>
      <c r="BJ290" s="1"/>
      <c r="BK290" s="1"/>
      <c r="BL290" s="1"/>
      <c r="BM290" s="1"/>
      <c r="BN290" s="1"/>
      <c r="BO290" s="1"/>
      <c r="BP290" s="1"/>
      <c r="BQ290" s="1"/>
      <c r="BR290" s="1"/>
      <c r="BS290" s="1"/>
      <c r="BT290" s="1"/>
      <c r="BU290" s="1"/>
      <c r="BV290" s="1"/>
      <c r="BW290" s="1"/>
      <c r="BX290" s="1"/>
      <c r="BY290" s="1"/>
      <c r="BZ290" s="1"/>
    </row>
    <row r="291" spans="1:78">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c r="AO291" s="1"/>
      <c r="AP291" s="1"/>
      <c r="AQ291" s="1"/>
      <c r="AR291" s="1"/>
      <c r="AS291" s="1"/>
      <c r="AT291" s="1"/>
      <c r="AU291" s="1"/>
      <c r="AV291" s="1"/>
      <c r="AW291" s="1"/>
      <c r="AX291" s="1"/>
      <c r="AY291" s="1"/>
      <c r="AZ291" s="1"/>
      <c r="BA291" s="1"/>
      <c r="BB291" s="1"/>
      <c r="BC291" s="1"/>
      <c r="BD291" s="1"/>
      <c r="BE291" s="1"/>
      <c r="BF291" s="1"/>
      <c r="BG291" s="1"/>
      <c r="BH291" s="1"/>
      <c r="BI291" s="1"/>
      <c r="BJ291" s="1"/>
      <c r="BK291" s="1"/>
      <c r="BL291" s="1"/>
      <c r="BM291" s="1"/>
      <c r="BN291" s="1"/>
      <c r="BO291" s="1"/>
      <c r="BP291" s="1"/>
      <c r="BQ291" s="1"/>
      <c r="BR291" s="1"/>
      <c r="BS291" s="1"/>
      <c r="BT291" s="1"/>
      <c r="BU291" s="1"/>
      <c r="BV291" s="1"/>
      <c r="BW291" s="1"/>
      <c r="BX291" s="1"/>
      <c r="BY291" s="1"/>
      <c r="BZ291" s="1"/>
    </row>
    <row r="292" spans="1:78">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c r="BJ292" s="1"/>
      <c r="BK292" s="1"/>
      <c r="BL292" s="1"/>
      <c r="BM292" s="1"/>
      <c r="BN292" s="1"/>
      <c r="BO292" s="1"/>
      <c r="BP292" s="1"/>
      <c r="BQ292" s="1"/>
      <c r="BR292" s="1"/>
      <c r="BS292" s="1"/>
      <c r="BT292" s="1"/>
      <c r="BU292" s="1"/>
      <c r="BV292" s="1"/>
      <c r="BW292" s="1"/>
      <c r="BX292" s="1"/>
      <c r="BY292" s="1"/>
      <c r="BZ292" s="1"/>
    </row>
    <row r="293" spans="1:78">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c r="AO293" s="1"/>
      <c r="AP293" s="1"/>
      <c r="AQ293" s="1"/>
      <c r="AR293" s="1"/>
      <c r="AS293" s="1"/>
      <c r="AT293" s="1"/>
      <c r="AU293" s="1"/>
      <c r="AV293" s="1"/>
      <c r="AW293" s="1"/>
      <c r="AX293" s="1"/>
      <c r="AY293" s="1"/>
      <c r="AZ293" s="1"/>
      <c r="BA293" s="1"/>
      <c r="BB293" s="1"/>
      <c r="BC293" s="1"/>
      <c r="BD293" s="1"/>
      <c r="BE293" s="1"/>
      <c r="BF293" s="1"/>
      <c r="BG293" s="1"/>
      <c r="BH293" s="1"/>
      <c r="BI293" s="1"/>
      <c r="BJ293" s="1"/>
      <c r="BK293" s="1"/>
      <c r="BL293" s="1"/>
      <c r="BM293" s="1"/>
      <c r="BN293" s="1"/>
      <c r="BO293" s="1"/>
      <c r="BP293" s="1"/>
      <c r="BQ293" s="1"/>
      <c r="BR293" s="1"/>
      <c r="BS293" s="1"/>
      <c r="BT293" s="1"/>
      <c r="BU293" s="1"/>
      <c r="BV293" s="1"/>
      <c r="BW293" s="1"/>
      <c r="BX293" s="1"/>
      <c r="BY293" s="1"/>
      <c r="BZ293" s="1"/>
    </row>
    <row r="294" spans="1:78">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c r="BJ294" s="1"/>
      <c r="BK294" s="1"/>
      <c r="BL294" s="1"/>
      <c r="BM294" s="1"/>
      <c r="BN294" s="1"/>
      <c r="BO294" s="1"/>
      <c r="BP294" s="1"/>
      <c r="BQ294" s="1"/>
      <c r="BR294" s="1"/>
      <c r="BS294" s="1"/>
      <c r="BT294" s="1"/>
      <c r="BU294" s="1"/>
      <c r="BV294" s="1"/>
      <c r="BW294" s="1"/>
      <c r="BX294" s="1"/>
      <c r="BY294" s="1"/>
      <c r="BZ294" s="1"/>
    </row>
    <row r="295" spans="1:78">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c r="BJ295" s="1"/>
      <c r="BK295" s="1"/>
      <c r="BL295" s="1"/>
      <c r="BM295" s="1"/>
      <c r="BN295" s="1"/>
      <c r="BO295" s="1"/>
      <c r="BP295" s="1"/>
      <c r="BQ295" s="1"/>
      <c r="BR295" s="1"/>
      <c r="BS295" s="1"/>
      <c r="BT295" s="1"/>
      <c r="BU295" s="1"/>
      <c r="BV295" s="1"/>
      <c r="BW295" s="1"/>
      <c r="BX295" s="1"/>
      <c r="BY295" s="1"/>
      <c r="BZ295" s="1"/>
    </row>
    <row r="296" spans="1:78">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c r="BJ296" s="1"/>
      <c r="BK296" s="1"/>
      <c r="BL296" s="1"/>
      <c r="BM296" s="1"/>
      <c r="BN296" s="1"/>
      <c r="BO296" s="1"/>
      <c r="BP296" s="1"/>
      <c r="BQ296" s="1"/>
      <c r="BR296" s="1"/>
      <c r="BS296" s="1"/>
      <c r="BT296" s="1"/>
      <c r="BU296" s="1"/>
      <c r="BV296" s="1"/>
      <c r="BW296" s="1"/>
      <c r="BX296" s="1"/>
      <c r="BY296" s="1"/>
      <c r="BZ296" s="1"/>
    </row>
    <row r="297" spans="1:78">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c r="BJ297" s="1"/>
      <c r="BK297" s="1"/>
      <c r="BL297" s="1"/>
      <c r="BM297" s="1"/>
      <c r="BN297" s="1"/>
      <c r="BO297" s="1"/>
      <c r="BP297" s="1"/>
      <c r="BQ297" s="1"/>
      <c r="BR297" s="1"/>
      <c r="BS297" s="1"/>
      <c r="BT297" s="1"/>
      <c r="BU297" s="1"/>
      <c r="BV297" s="1"/>
      <c r="BW297" s="1"/>
      <c r="BX297" s="1"/>
      <c r="BY297" s="1"/>
      <c r="BZ297" s="1"/>
    </row>
    <row r="298" spans="1:7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c r="BJ298" s="1"/>
      <c r="BK298" s="1"/>
      <c r="BL298" s="1"/>
      <c r="BM298" s="1"/>
      <c r="BN298" s="1"/>
      <c r="BO298" s="1"/>
      <c r="BP298" s="1"/>
      <c r="BQ298" s="1"/>
      <c r="BR298" s="1"/>
      <c r="BS298" s="1"/>
      <c r="BT298" s="1"/>
      <c r="BU298" s="1"/>
      <c r="BV298" s="1"/>
      <c r="BW298" s="1"/>
      <c r="BX298" s="1"/>
      <c r="BY298" s="1"/>
      <c r="BZ298" s="1"/>
    </row>
    <row r="299" spans="1:78">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c r="BJ299" s="1"/>
      <c r="BK299" s="1"/>
      <c r="BL299" s="1"/>
      <c r="BM299" s="1"/>
      <c r="BN299" s="1"/>
      <c r="BO299" s="1"/>
      <c r="BP299" s="1"/>
      <c r="BQ299" s="1"/>
      <c r="BR299" s="1"/>
      <c r="BS299" s="1"/>
      <c r="BT299" s="1"/>
      <c r="BU299" s="1"/>
      <c r="BV299" s="1"/>
      <c r="BW299" s="1"/>
      <c r="BX299" s="1"/>
      <c r="BY299" s="1"/>
      <c r="BZ299" s="1"/>
    </row>
    <row r="300" spans="1:78">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c r="BJ300" s="1"/>
      <c r="BK300" s="1"/>
      <c r="BL300" s="1"/>
      <c r="BM300" s="1"/>
      <c r="BN300" s="1"/>
      <c r="BO300" s="1"/>
      <c r="BP300" s="1"/>
      <c r="BQ300" s="1"/>
      <c r="BR300" s="1"/>
      <c r="BS300" s="1"/>
      <c r="BT300" s="1"/>
      <c r="BU300" s="1"/>
      <c r="BV300" s="1"/>
      <c r="BW300" s="1"/>
      <c r="BX300" s="1"/>
      <c r="BY300" s="1"/>
      <c r="BZ300" s="1"/>
    </row>
  </sheetData>
  <pageMargins left="0.7" right="0.7" top="0.75" bottom="0.75" header="0.3" footer="0.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enableFormatConditionsCalculation="0">
    <tabColor theme="0"/>
  </sheetPr>
  <dimension ref="A1:Z117"/>
  <sheetViews>
    <sheetView showGridLines="0" topLeftCell="B51" workbookViewId="0">
      <selection activeCell="C58" sqref="C58"/>
    </sheetView>
  </sheetViews>
  <sheetFormatPr baseColWidth="10" defaultColWidth="19" defaultRowHeight="12" x14ac:dyDescent="0"/>
  <cols>
    <col min="1" max="1" width="42.1640625" style="33" bestFit="1" customWidth="1"/>
    <col min="2" max="2" width="18.1640625" style="1" bestFit="1" customWidth="1"/>
    <col min="3" max="3" width="17.5" style="1" bestFit="1" customWidth="1"/>
    <col min="4" max="4" width="12.5" style="1" customWidth="1"/>
    <col min="5" max="5" width="12.5" style="1" bestFit="1" customWidth="1"/>
    <col min="6" max="6" width="19.5" style="1" bestFit="1" customWidth="1"/>
    <col min="7" max="7" width="14.83203125" style="1" bestFit="1" customWidth="1"/>
    <col min="8" max="8" width="11.83203125" style="1" customWidth="1"/>
    <col min="9" max="9" width="12.5" style="3" bestFit="1" customWidth="1"/>
    <col min="10" max="10" width="12.6640625" style="1" customWidth="1"/>
    <col min="11" max="11" width="12.5" style="1" bestFit="1" customWidth="1"/>
    <col min="12" max="12" width="8.33203125" style="1" bestFit="1" customWidth="1"/>
    <col min="13" max="13" width="9.83203125" style="1" bestFit="1" customWidth="1"/>
    <col min="14" max="14" width="15.33203125" style="1" bestFit="1" customWidth="1"/>
    <col min="15" max="16384" width="19" style="1"/>
  </cols>
  <sheetData>
    <row r="1" spans="1:5">
      <c r="A1" s="21"/>
      <c r="B1" s="19"/>
    </row>
    <row r="2" spans="1:5">
      <c r="A2" s="2" t="s">
        <v>48</v>
      </c>
    </row>
    <row r="3" spans="1:5">
      <c r="A3" s="9"/>
      <c r="B3" s="5" t="s">
        <v>62</v>
      </c>
      <c r="C3" s="3"/>
      <c r="D3" s="3"/>
      <c r="E3" s="3"/>
    </row>
    <row r="4" spans="1:5">
      <c r="A4" s="6" t="s">
        <v>49</v>
      </c>
      <c r="B4" s="328">
        <v>0.02</v>
      </c>
      <c r="C4" s="3"/>
      <c r="D4" s="3"/>
      <c r="E4" s="3"/>
    </row>
    <row r="5" spans="1:5">
      <c r="A5" s="9"/>
      <c r="B5" s="3"/>
      <c r="C5" s="3"/>
      <c r="D5" s="3"/>
    </row>
    <row r="6" spans="1:5">
      <c r="A6" s="8"/>
      <c r="B6" s="5" t="s">
        <v>20</v>
      </c>
      <c r="C6" s="10" t="s">
        <v>21</v>
      </c>
      <c r="D6" s="3"/>
      <c r="E6" s="3"/>
    </row>
    <row r="7" spans="1:5">
      <c r="A7" s="6" t="s">
        <v>50</v>
      </c>
      <c r="B7" s="229">
        <v>11</v>
      </c>
      <c r="C7" s="3"/>
      <c r="D7" s="3"/>
      <c r="E7" s="3"/>
    </row>
    <row r="8" spans="1:5">
      <c r="A8" s="6" t="s">
        <v>51</v>
      </c>
      <c r="B8" s="230">
        <v>10</v>
      </c>
      <c r="C8" s="230">
        <v>10</v>
      </c>
      <c r="D8" s="3"/>
      <c r="E8" s="3"/>
    </row>
    <row r="9" spans="1:5">
      <c r="A9" s="6" t="s">
        <v>60</v>
      </c>
      <c r="B9" s="231">
        <v>10</v>
      </c>
      <c r="C9" s="231">
        <v>10</v>
      </c>
      <c r="D9" s="3"/>
      <c r="E9" s="3"/>
    </row>
    <row r="10" spans="1:5">
      <c r="A10" s="6" t="s">
        <v>52</v>
      </c>
      <c r="B10" s="231">
        <v>5</v>
      </c>
      <c r="C10" s="231">
        <v>5</v>
      </c>
      <c r="D10" s="3"/>
      <c r="E10" s="3"/>
    </row>
    <row r="11" spans="1:5">
      <c r="A11" s="8"/>
      <c r="B11" s="11"/>
      <c r="C11" s="11"/>
      <c r="D11" s="3"/>
      <c r="E11" s="3"/>
    </row>
    <row r="12" spans="1:5">
      <c r="A12" s="7" t="s">
        <v>53</v>
      </c>
      <c r="B12" s="231">
        <v>75</v>
      </c>
      <c r="C12" s="11"/>
      <c r="D12" s="3"/>
      <c r="E12" s="3"/>
    </row>
    <row r="13" spans="1:5">
      <c r="A13" s="6" t="s">
        <v>54</v>
      </c>
      <c r="B13" s="232">
        <v>0.74990000000000001</v>
      </c>
      <c r="C13" s="11"/>
      <c r="D13" s="3"/>
      <c r="E13" s="3"/>
    </row>
    <row r="14" spans="1:5">
      <c r="A14" s="6" t="s">
        <v>55</v>
      </c>
      <c r="B14" s="232">
        <v>0.74990000000000001</v>
      </c>
      <c r="C14" s="11"/>
      <c r="D14" s="3"/>
      <c r="E14" s="3"/>
    </row>
    <row r="15" spans="1:5">
      <c r="A15" s="6" t="s">
        <v>56</v>
      </c>
      <c r="B15" s="232">
        <v>0.74990000000000001</v>
      </c>
      <c r="C15" s="11"/>
      <c r="D15" s="3"/>
      <c r="E15" s="3"/>
    </row>
    <row r="16" spans="1:5">
      <c r="A16" s="6" t="s">
        <v>57</v>
      </c>
      <c r="B16" s="232">
        <v>0.74990000000000001</v>
      </c>
      <c r="C16" s="11"/>
      <c r="D16" s="3"/>
      <c r="E16" s="3"/>
    </row>
    <row r="17" spans="1:26">
      <c r="A17" s="8"/>
      <c r="B17" s="3"/>
      <c r="C17" s="11"/>
      <c r="D17" s="3"/>
      <c r="E17" s="3"/>
    </row>
    <row r="18" spans="1:26">
      <c r="A18" s="2" t="s">
        <v>798</v>
      </c>
      <c r="B18" s="5" t="str">
        <f>VLOOKUP(Company,Peer_List!$AE$2:$AF$741,2,0)</f>
        <v>UltraTech Cem.</v>
      </c>
      <c r="D18" s="3"/>
      <c r="E18" s="3"/>
    </row>
    <row r="19" spans="1:26">
      <c r="A19" s="6"/>
      <c r="B19" s="5">
        <f>Company</f>
        <v>532538</v>
      </c>
      <c r="D19" s="3"/>
      <c r="E19" s="3"/>
    </row>
    <row r="20" spans="1:26" ht="12" customHeight="1">
      <c r="A20" s="2" t="s">
        <v>775</v>
      </c>
      <c r="B20" s="5" t="str">
        <f ca="1">OFFSET(Peer_List!AD1,MATCH(Input!A1,Peer_List!AE2:AE741,0),0)</f>
        <v>PG 21</v>
      </c>
      <c r="C20" s="253"/>
      <c r="D20" s="3"/>
      <c r="E20" s="3"/>
    </row>
    <row r="21" spans="1:26">
      <c r="A21" s="2" t="s">
        <v>799</v>
      </c>
      <c r="B21" s="18" t="str">
        <f>Template_P4!M24</f>
        <v>ACC</v>
      </c>
      <c r="C21" s="11"/>
      <c r="D21" s="3"/>
      <c r="E21" s="3"/>
    </row>
    <row r="22" spans="1:26">
      <c r="A22" s="6"/>
      <c r="B22" s="5">
        <f>IF(ISERROR(VLOOKUP(Template_P4!$M$24,Peer_List!$AF$1:$AG$741,2,0)),B19,VLOOKUP(Template_P4!$M$24,Peer_List!$AF$1:$AG$741,2,0))</f>
        <v>500410</v>
      </c>
      <c r="C22" s="11"/>
      <c r="D22" s="3"/>
      <c r="E22" s="3"/>
    </row>
    <row r="23" spans="1:26">
      <c r="A23" s="2" t="s">
        <v>800</v>
      </c>
      <c r="B23" s="18" t="str">
        <f>Template_P4!N24</f>
        <v>Ambuja Cem.</v>
      </c>
      <c r="C23" s="11"/>
      <c r="D23" s="3"/>
      <c r="E23" s="3"/>
    </row>
    <row r="24" spans="1:26">
      <c r="A24" s="6"/>
      <c r="B24" s="5">
        <f>IF(ISERROR(VLOOKUP(Template_P4!N24,Peer_List!AF1:AG741,2,0)),B19,VLOOKUP(Template_P4!N24,Peer_List!AF1:AG741,2,0))</f>
        <v>500425</v>
      </c>
      <c r="C24" s="11"/>
      <c r="D24" s="3"/>
      <c r="E24" s="3"/>
    </row>
    <row r="25" spans="1:26">
      <c r="A25" s="8"/>
      <c r="B25" s="14"/>
      <c r="C25" s="14"/>
      <c r="D25" s="4"/>
      <c r="E25" s="15"/>
      <c r="F25" s="14"/>
      <c r="G25" s="3"/>
    </row>
    <row r="26" spans="1:26">
      <c r="A26" s="13" t="s">
        <v>108</v>
      </c>
      <c r="B26" s="573">
        <f>Input!B1</f>
        <v>2015</v>
      </c>
      <c r="C26" s="574"/>
      <c r="D26" s="574"/>
      <c r="E26" s="574"/>
      <c r="F26" s="575"/>
      <c r="G26" s="573">
        <f>B26-1</f>
        <v>2014</v>
      </c>
      <c r="H26" s="574"/>
      <c r="I26" s="574"/>
      <c r="J26" s="574"/>
      <c r="K26" s="575"/>
      <c r="L26" s="573">
        <f>G26-1</f>
        <v>2013</v>
      </c>
      <c r="M26" s="574"/>
      <c r="N26" s="574"/>
      <c r="O26" s="574"/>
      <c r="P26" s="575"/>
      <c r="Q26" s="573">
        <f>L26-1</f>
        <v>2012</v>
      </c>
      <c r="R26" s="574"/>
      <c r="S26" s="574"/>
      <c r="T26" s="574"/>
      <c r="U26" s="575"/>
      <c r="V26" s="573">
        <f>Q26-1</f>
        <v>2011</v>
      </c>
      <c r="W26" s="574"/>
      <c r="X26" s="574"/>
      <c r="Y26" s="574"/>
      <c r="Z26" s="575"/>
    </row>
    <row r="27" spans="1:26" ht="24">
      <c r="A27" s="192"/>
      <c r="B27" s="193" t="str">
        <f>"Board"&amp;" "&amp;B26</f>
        <v>Board 2015</v>
      </c>
      <c r="C27" s="194" t="str">
        <f>"Audit "&amp;B26</f>
        <v>Audit 2015</v>
      </c>
      <c r="D27" s="194" t="str">
        <f>"Investor Grievance "&amp;B26</f>
        <v>Investor Grievance 2015</v>
      </c>
      <c r="E27" s="194" t="str">
        <f>"Remuneration "&amp;B26</f>
        <v>Remuneration 2015</v>
      </c>
      <c r="F27" s="195" t="str">
        <f>"Nomination "&amp;B26</f>
        <v>Nomination 2015</v>
      </c>
      <c r="G27" s="193" t="str">
        <f>"Board"&amp;" "&amp;G26</f>
        <v>Board 2014</v>
      </c>
      <c r="H27" s="194" t="str">
        <f>"Audit "&amp;G26</f>
        <v>Audit 2014</v>
      </c>
      <c r="I27" s="194" t="str">
        <f>"Investor Grievance "&amp;G26</f>
        <v>Investor Grievance 2014</v>
      </c>
      <c r="J27" s="194" t="str">
        <f>"Remuneration "&amp;G26</f>
        <v>Remuneration 2014</v>
      </c>
      <c r="K27" s="195" t="str">
        <f>"Nomination "&amp;G26</f>
        <v>Nomination 2014</v>
      </c>
      <c r="L27" s="193" t="str">
        <f>"Board"&amp;" "&amp;L26</f>
        <v>Board 2013</v>
      </c>
      <c r="M27" s="194" t="str">
        <f>"Audit "&amp;L26</f>
        <v>Audit 2013</v>
      </c>
      <c r="N27" s="194" t="str">
        <f>"Investor Grievance "&amp;L26</f>
        <v>Investor Grievance 2013</v>
      </c>
      <c r="O27" s="194" t="str">
        <f>"Remuneration "&amp;L26</f>
        <v>Remuneration 2013</v>
      </c>
      <c r="P27" s="195" t="str">
        <f>"Nomination "&amp;L26</f>
        <v>Nomination 2013</v>
      </c>
      <c r="Q27" s="193" t="str">
        <f>"Board"&amp;" "&amp;Q26</f>
        <v>Board 2012</v>
      </c>
      <c r="R27" s="194" t="str">
        <f>"Audit "&amp;Q26</f>
        <v>Audit 2012</v>
      </c>
      <c r="S27" s="194" t="str">
        <f>"Investor Grievance "&amp;Q26</f>
        <v>Investor Grievance 2012</v>
      </c>
      <c r="T27" s="194" t="str">
        <f>"Remuneration "&amp;Q26</f>
        <v>Remuneration 2012</v>
      </c>
      <c r="U27" s="195" t="str">
        <f>"Nomination "&amp;Q26</f>
        <v>Nomination 2012</v>
      </c>
      <c r="V27" s="193" t="str">
        <f>"Board"&amp;" "&amp;V26</f>
        <v>Board 2011</v>
      </c>
      <c r="W27" s="194" t="str">
        <f>"Audit "&amp;V26</f>
        <v>Audit 2011</v>
      </c>
      <c r="X27" s="194" t="str">
        <f>"Investor Grievance "&amp;V26</f>
        <v>Investor Grievance 2011</v>
      </c>
      <c r="Y27" s="194" t="str">
        <f>"Remuneration "&amp;V26</f>
        <v>Remuneration 2011</v>
      </c>
      <c r="Z27" s="195" t="str">
        <f>"Nomination "&amp;V26</f>
        <v>Nomination 2011</v>
      </c>
    </row>
    <row r="28" spans="1:26">
      <c r="A28" s="6" t="str">
        <f>IF(AND(Input!D3="",Input!B3&lt;&gt;""),Input!B3,"")</f>
        <v>Keki M.Mistry</v>
      </c>
      <c r="B28" s="62">
        <f>IF(AND(Input!$B3&lt;&gt;"",Input!$D3=""),IF(ISERROR(Input!$C45/Input!$D45),"NA",Input!$C45/Input!$D45),"")</f>
        <v>1</v>
      </c>
      <c r="C28" s="63">
        <f>IF(ISERROR(Input!$C66/Input!$D66),"",Input!$C66/Input!$D66)</f>
        <v>1</v>
      </c>
      <c r="D28" s="64"/>
      <c r="E28" s="63">
        <f t="array" ref="E28">IF(ISERROR(Input!$C87/Input!$D87),"",Input!$C87/Input!$D87)</f>
        <v>1</v>
      </c>
      <c r="F28" s="65" t="str">
        <f t="array" ref="F28">IF(ISERROR(Input!$C108/Input!$D108),"",Input!$C108/Input!$D108)</f>
        <v/>
      </c>
      <c r="G28" s="69">
        <f>IF(AND(Input!$B3&lt;&gt;"",Input!$D3=""),IF(ISERROR(Input!$E45/Input!$F45),"NA",Input!$E45/Input!$F45),"")</f>
        <v>1</v>
      </c>
      <c r="H28" s="70">
        <f>IF(ISERROR(Input!$E66/Input!$F66),"",Input!$E66/Input!$F66)</f>
        <v>1</v>
      </c>
      <c r="I28" s="71"/>
      <c r="J28" s="70">
        <f>IF(ISERROR(Input!$E87/Input!$F87),"",Input!$E87/Input!$F87)</f>
        <v>1</v>
      </c>
      <c r="K28" s="72" t="str">
        <f>IF(ISERROR(Input!$E108/Input!$F108),"",Input!$E108/Input!$F108)</f>
        <v/>
      </c>
      <c r="L28" s="69">
        <f>IF(AND(Input!$B3&lt;&gt;"",Input!$D3=""),IF(ISERROR(Input!$G45/Input!$H45),"NA",Input!$G45/Input!$H45),"")</f>
        <v>1</v>
      </c>
      <c r="M28" s="70">
        <f>IF(ISERROR(Input!$G66/Input!$H66),"",Input!$G66/Input!$H66)</f>
        <v>1</v>
      </c>
      <c r="N28" s="71"/>
      <c r="O28" s="70">
        <f>IF(ISERROR(Input!$G87/Input!$H87),"",Input!$G87/Input!$H87)</f>
        <v>1</v>
      </c>
      <c r="P28" s="72" t="str">
        <f>IF(ISERROR(Input!$G108/Input!$H108),"",Input!$G108/Input!$H108)</f>
        <v/>
      </c>
      <c r="Q28" s="69" t="str">
        <f>IF(AND(Input!$B3&lt;&gt;"",Input!$D3=""),IF(ISERROR(Input!IE45/Input!$J45),"NA",Input!$I45/Input!$J45),"")</f>
        <v>NA</v>
      </c>
      <c r="R28" s="70" t="str">
        <f>IF(ISERROR(Input!$I66/Input!$J66),"",Input!$I66/Input!$J66)</f>
        <v/>
      </c>
      <c r="S28" s="71"/>
      <c r="T28" s="70" t="str">
        <f>IF(ISERROR(Input!$I87/Input!$J87),"",Input!$I87/Input!$J87)</f>
        <v/>
      </c>
      <c r="U28" s="72" t="str">
        <f>IF(ISERROR(Input!$I108/Input!$J108),"",Input!$I108/Input!$J108)</f>
        <v/>
      </c>
      <c r="V28" s="69" t="str">
        <f>IF(AND(Input!$B3&lt;&gt;"",Input!$D3=""),IF(ISERROR(Input!II45/Input!$L45),"NA",Input!$K45/Input!$L45),"")</f>
        <v>NA</v>
      </c>
      <c r="W28" s="70" t="str">
        <f>IF(ISERROR(Input!$K66/Input!$L66),"",Input!$K66/Input!$L66)</f>
        <v/>
      </c>
      <c r="X28" s="71"/>
      <c r="Y28" s="70" t="str">
        <f>IF(ISERROR(Input!$K87/Input!$L87),"",Input!$K87/Input!$L87)</f>
        <v/>
      </c>
      <c r="Z28" s="72" t="str">
        <f>IF(ISERROR(Input!$K108/Input!$L108),"",Input!$K108/Input!$L108)</f>
        <v/>
      </c>
    </row>
    <row r="29" spans="1:26">
      <c r="A29" s="6" t="str">
        <f>IF(AND(Input!D4="",Input!B4&lt;&gt;""),Input!B4,"")</f>
        <v>Renu Sud Karnad</v>
      </c>
      <c r="B29" s="62">
        <f>IF(AND(Input!$B4&lt;&gt;"",Input!$D4=""),IF(ISERROR(Input!$C46/Input!$D46),"NA",Input!$C46/Input!$D46),"")</f>
        <v>0.5</v>
      </c>
      <c r="C29" s="63" t="str">
        <f>IF(ISERROR(Input!$C67/Input!$D67),"",Input!$C67/Input!$D67)</f>
        <v/>
      </c>
      <c r="D29" s="64"/>
      <c r="E29" s="63">
        <f t="array" ref="E29">IF(ISERROR(Input!$C88/Input!$D88),"",Input!$C88/Input!$D88)</f>
        <v>1</v>
      </c>
      <c r="F29" s="65" t="str">
        <f t="array" ref="F29">IF(ISERROR(Input!$C109/Input!$D109),"",Input!$C109/Input!$D109)</f>
        <v/>
      </c>
      <c r="G29" s="69">
        <f>IF(AND(Input!$B4&lt;&gt;"",Input!$D4=""),IF(ISERROR(Input!$E46/Input!$F46),"NA",Input!$E46/Input!$F46),"")</f>
        <v>1</v>
      </c>
      <c r="H29" s="70" t="str">
        <f>IF(ISERROR(Input!$E67/Input!$F67),"",Input!$E67/Input!$F67)</f>
        <v/>
      </c>
      <c r="I29" s="71"/>
      <c r="J29" s="70">
        <f>IF(ISERROR(Input!$E88/Input!$F88),"",Input!$E88/Input!$F88)</f>
        <v>1</v>
      </c>
      <c r="K29" s="72" t="str">
        <f>IF(ISERROR(Input!$E109/Input!$F109),"",Input!$E109/Input!$F109)</f>
        <v/>
      </c>
      <c r="L29" s="69">
        <f>IF(AND(Input!$B4&lt;&gt;"",Input!$D4=""),IF(ISERROR(Input!$G46/Input!$H46),"NA",Input!$G46/Input!$H46),"")</f>
        <v>1</v>
      </c>
      <c r="M29" s="70" t="str">
        <f>IF(ISERROR(Input!$G67/Input!$H67),"",Input!$G67/Input!$H67)</f>
        <v/>
      </c>
      <c r="N29" s="71"/>
      <c r="O29" s="70">
        <f>IF(ISERROR(Input!$G88/Input!$H88),"",Input!$G88/Input!$H88)</f>
        <v>1</v>
      </c>
      <c r="P29" s="72" t="str">
        <f>IF(ISERROR(Input!$G109/Input!$H109),"",Input!$G109/Input!$H109)</f>
        <v/>
      </c>
      <c r="Q29" s="69" t="str">
        <f>IF(AND(Input!$B4&lt;&gt;"",Input!$D4=""),IF(ISERROR(Input!IE46/Input!$J46),"NA",Input!$I46/Input!$J46),"")</f>
        <v>NA</v>
      </c>
      <c r="R29" s="70" t="str">
        <f>IF(ISERROR(Input!$I67/Input!$J67),"",Input!$I67/Input!$J67)</f>
        <v/>
      </c>
      <c r="S29" s="71"/>
      <c r="T29" s="70" t="str">
        <f>IF(ISERROR(Input!$I88/Input!$J88),"",Input!$I88/Input!$J88)</f>
        <v/>
      </c>
      <c r="U29" s="72" t="str">
        <f>IF(ISERROR(Input!$I109/Input!$J109),"",Input!$I109/Input!$J109)</f>
        <v/>
      </c>
      <c r="V29" s="69" t="str">
        <f>IF(AND(Input!$B4&lt;&gt;"",Input!$D4=""),IF(ISERROR(Input!II46/Input!$L46),"NA",Input!$K46/Input!$L46),"")</f>
        <v>NA</v>
      </c>
      <c r="W29" s="70" t="str">
        <f>IF(ISERROR(Input!$K67/Input!$L67),"",Input!$K67/Input!$L67)</f>
        <v/>
      </c>
      <c r="X29" s="71"/>
      <c r="Y29" s="70" t="str">
        <f>IF(ISERROR(Input!$K88/Input!$L88),"",Input!$K88/Input!$L88)</f>
        <v/>
      </c>
      <c r="Z29" s="72" t="str">
        <f>IF(ISERROR(Input!$K109/Input!$L109),"",Input!$K109/Input!$L109)</f>
        <v/>
      </c>
    </row>
    <row r="30" spans="1:26">
      <c r="A30" s="6" t="str">
        <f>IF(AND(Input!D5="",Input!B5&lt;&gt;""),Input!B5,"")</f>
        <v>S.M Palia</v>
      </c>
      <c r="B30" s="62">
        <f>IF(AND(Input!$B5&lt;&gt;"",Input!$D5=""),IF(ISERROR(Input!$C47/Input!$D47),"NA",Input!$C47/Input!$D47),"")</f>
        <v>1</v>
      </c>
      <c r="C30" s="63">
        <f>IF(ISERROR(Input!$C68/Input!$D68),"",Input!$C68/Input!$D68)</f>
        <v>1</v>
      </c>
      <c r="D30" s="64"/>
      <c r="E30" s="63">
        <f t="array" ref="E30">IF(ISERROR(Input!$C89/Input!$D89),"",Input!$C89/Input!$D89)</f>
        <v>1</v>
      </c>
      <c r="F30" s="65" t="str">
        <f t="array" ref="F30">IF(ISERROR(Input!$C110/Input!$D110),"",Input!$C110/Input!$D110)</f>
        <v/>
      </c>
      <c r="G30" s="69">
        <f>IF(AND(Input!$B5&lt;&gt;"",Input!$D5=""),IF(ISERROR(Input!$E47/Input!$F47),"NA",Input!$E47/Input!$F47),"")</f>
        <v>1</v>
      </c>
      <c r="H30" s="70">
        <f>IF(ISERROR(Input!$E68/Input!$F68),"",Input!$E68/Input!$F68)</f>
        <v>1</v>
      </c>
      <c r="I30" s="71"/>
      <c r="J30" s="70">
        <f>IF(ISERROR(Input!$E89/Input!$F89),"",Input!$E89/Input!$F89)</f>
        <v>1</v>
      </c>
      <c r="K30" s="72" t="str">
        <f>IF(ISERROR(Input!$E110/Input!$F110),"",Input!$E110/Input!$F110)</f>
        <v/>
      </c>
      <c r="L30" s="69">
        <f>IF(AND(Input!$B5&lt;&gt;"",Input!$D5=""),IF(ISERROR(Input!$G47/Input!$H47),"NA",Input!$G47/Input!$H47),"")</f>
        <v>1</v>
      </c>
      <c r="M30" s="70">
        <f>IF(ISERROR(Input!$G68/Input!$H68),"",Input!$G68/Input!$H68)</f>
        <v>1</v>
      </c>
      <c r="N30" s="71"/>
      <c r="O30" s="70">
        <f>IF(ISERROR(Input!$G89/Input!$H89),"",Input!$G89/Input!$H89)</f>
        <v>1</v>
      </c>
      <c r="P30" s="72" t="str">
        <f>IF(ISERROR(Input!$G110/Input!$H110),"",Input!$G110/Input!$H110)</f>
        <v/>
      </c>
      <c r="Q30" s="69" t="str">
        <f>IF(AND(Input!$B5&lt;&gt;"",Input!$D5=""),IF(ISERROR(Input!IE47/Input!$J47),"NA",Input!$I47/Input!$J47),"")</f>
        <v>NA</v>
      </c>
      <c r="R30" s="70" t="str">
        <f>IF(ISERROR(Input!$I68/Input!$J68),"",Input!$I68/Input!$J68)</f>
        <v/>
      </c>
      <c r="S30" s="71"/>
      <c r="T30" s="70" t="str">
        <f>IF(ISERROR(Input!$I89/Input!$J89),"",Input!$I89/Input!$J89)</f>
        <v/>
      </c>
      <c r="U30" s="72" t="str">
        <f>IF(ISERROR(Input!$I110/Input!$J110),"",Input!$I110/Input!$J110)</f>
        <v/>
      </c>
      <c r="V30" s="69" t="str">
        <f>IF(AND(Input!$B5&lt;&gt;"",Input!$D5=""),IF(ISERROR(Input!II47/Input!$L47),"NA",Input!$K47/Input!$L47),"")</f>
        <v>NA</v>
      </c>
      <c r="W30" s="70" t="str">
        <f>IF(ISERROR(Input!$K68/Input!$L68),"",Input!$K68/Input!$L68)</f>
        <v/>
      </c>
      <c r="X30" s="71"/>
      <c r="Y30" s="70" t="str">
        <f>IF(ISERROR(Input!$K89/Input!$L89),"",Input!$K89/Input!$L89)</f>
        <v/>
      </c>
      <c r="Z30" s="72" t="str">
        <f>IF(ISERROR(Input!$K110/Input!$L110),"",Input!$K110/Input!$L110)</f>
        <v/>
      </c>
    </row>
    <row r="31" spans="1:26">
      <c r="A31" s="6" t="str">
        <f>IF(AND(Input!D6="",Input!B6&lt;&gt;""),Input!B6,"")</f>
        <v>Rohit C. Mehta</v>
      </c>
      <c r="B31" s="62">
        <f>IF(AND(Input!$B6&lt;&gt;"",Input!$D6=""),IF(ISERROR(Input!$C48/Input!$D48),"NA",Input!$C48/Input!$D48),"")</f>
        <v>0.75</v>
      </c>
      <c r="C31" s="63">
        <f>IF(ISERROR(Input!$C69/Input!$D69),"",Input!$C69/Input!$D69)</f>
        <v>0.75</v>
      </c>
      <c r="D31" s="64"/>
      <c r="E31" s="63" t="str">
        <f t="array" ref="E31">IF(ISERROR(Input!$C90/Input!$D90),"",Input!$C90/Input!$D90)</f>
        <v/>
      </c>
      <c r="F31" s="65" t="str">
        <f t="array" ref="F31">IF(ISERROR(Input!$C111/Input!$D111),"",Input!$C111/Input!$D111)</f>
        <v/>
      </c>
      <c r="G31" s="69">
        <f>IF(AND(Input!$B6&lt;&gt;"",Input!$D6=""),IF(ISERROR(Input!$E48/Input!$F48),"NA",Input!$E48/Input!$F48),"")</f>
        <v>0.6</v>
      </c>
      <c r="H31" s="70">
        <f>IF(ISERROR(Input!$E69/Input!$F69),"",Input!$E69/Input!$F69)</f>
        <v>0.8</v>
      </c>
      <c r="I31" s="71"/>
      <c r="J31" s="70" t="str">
        <f>IF(ISERROR(Input!$E90/Input!$F90),"",Input!$E90/Input!$F90)</f>
        <v/>
      </c>
      <c r="K31" s="72" t="str">
        <f>IF(ISERROR(Input!$E111/Input!$F111),"",Input!$E111/Input!$F111)</f>
        <v/>
      </c>
      <c r="L31" s="69">
        <f>IF(AND(Input!$B6&lt;&gt;"",Input!$D6=""),IF(ISERROR(Input!$G48/Input!$H48),"NA",Input!$G48/Input!$H48),"")</f>
        <v>0.75</v>
      </c>
      <c r="M31" s="70">
        <f>IF(ISERROR(Input!$G69/Input!$H69),"",Input!$G69/Input!$H69)</f>
        <v>0.6</v>
      </c>
      <c r="N31" s="71"/>
      <c r="O31" s="70" t="str">
        <f>IF(ISERROR(Input!$G90/Input!$H90),"",Input!$G90/Input!$H90)</f>
        <v/>
      </c>
      <c r="P31" s="72" t="str">
        <f>IF(ISERROR(Input!$G111/Input!$H111),"",Input!$G111/Input!$H111)</f>
        <v/>
      </c>
      <c r="Q31" s="69" t="str">
        <f>IF(AND(Input!$B6&lt;&gt;"",Input!$D6=""),IF(ISERROR(Input!IE48/Input!$J48),"NA",Input!$I48/Input!$J48),"")</f>
        <v>NA</v>
      </c>
      <c r="R31" s="70" t="str">
        <f>IF(ISERROR(Input!$I69/Input!$J69),"",Input!$I69/Input!$J69)</f>
        <v/>
      </c>
      <c r="S31" s="71"/>
      <c r="T31" s="70" t="str">
        <f>IF(ISERROR(Input!$I90/Input!$J90),"",Input!$I90/Input!$J90)</f>
        <v/>
      </c>
      <c r="U31" s="72" t="str">
        <f>IF(ISERROR(Input!$I111/Input!$J111),"",Input!$I111/Input!$J111)</f>
        <v/>
      </c>
      <c r="V31" s="69" t="str">
        <f>IF(AND(Input!$B6&lt;&gt;"",Input!$D6=""),IF(ISERROR(Input!II48/Input!$L48),"NA",Input!$K48/Input!$L48),"")</f>
        <v>NA</v>
      </c>
      <c r="W31" s="70" t="str">
        <f>IF(ISERROR(Input!$K69/Input!$L69),"",Input!$K69/Input!$L69)</f>
        <v/>
      </c>
      <c r="X31" s="71"/>
      <c r="Y31" s="70" t="str">
        <f>IF(ISERROR(Input!$K90/Input!$L90),"",Input!$K90/Input!$L90)</f>
        <v/>
      </c>
      <c r="Z31" s="72" t="str">
        <f>IF(ISERROR(Input!$K111/Input!$L111),"",Input!$K111/Input!$L111)</f>
        <v/>
      </c>
    </row>
    <row r="32" spans="1:26">
      <c r="A32" s="6" t="str">
        <f>IF(AND(Input!D7="",Input!B7&lt;&gt;""),Input!B7,"")</f>
        <v>Prafull Anubhai</v>
      </c>
      <c r="B32" s="62">
        <f>IF(AND(Input!$B7&lt;&gt;"",Input!$D7=""),IF(ISERROR(Input!$C49/Input!$D49),"NA",Input!$C49/Input!$D49),"")</f>
        <v>1</v>
      </c>
      <c r="C32" s="63">
        <f>IF(ISERROR(Input!$C70/Input!$D70),"",Input!$C70/Input!$D70)</f>
        <v>1</v>
      </c>
      <c r="D32" s="64"/>
      <c r="E32" s="63" t="str">
        <f t="array" ref="E32">IF(ISERROR(Input!$C91/Input!$D91),"",Input!$C91/Input!$D91)</f>
        <v/>
      </c>
      <c r="F32" s="65" t="str">
        <f t="array" ref="F32">IF(ISERROR(Input!$C112/Input!$D112),"",Input!$C112/Input!$D112)</f>
        <v/>
      </c>
      <c r="G32" s="69">
        <f>IF(AND(Input!$B7&lt;&gt;"",Input!$D7=""),IF(ISERROR(Input!$E49/Input!$F49),"NA",Input!$E49/Input!$F49),"")</f>
        <v>1</v>
      </c>
      <c r="H32" s="70">
        <f>IF(ISERROR(Input!$E70/Input!$F70),"",Input!$E70/Input!$F70)</f>
        <v>1</v>
      </c>
      <c r="I32" s="71"/>
      <c r="J32" s="70" t="str">
        <f>IF(ISERROR(Input!$E91/Input!$F91),"",Input!$E91/Input!$F91)</f>
        <v/>
      </c>
      <c r="K32" s="72" t="str">
        <f>IF(ISERROR(Input!$E112/Input!$F112),"",Input!$E112/Input!$F112)</f>
        <v/>
      </c>
      <c r="L32" s="69">
        <f>IF(AND(Input!$B7&lt;&gt;"",Input!$D7=""),IF(ISERROR(Input!$G49/Input!$H49),"NA",Input!$G49/Input!$H49),"")</f>
        <v>1</v>
      </c>
      <c r="M32" s="70">
        <f>IF(ISERROR(Input!$G70/Input!$H70),"",Input!$G70/Input!$H70)</f>
        <v>1</v>
      </c>
      <c r="N32" s="71"/>
      <c r="O32" s="70" t="str">
        <f>IF(ISERROR(Input!$G91/Input!$H91),"",Input!$G91/Input!$H91)</f>
        <v/>
      </c>
      <c r="P32" s="72" t="str">
        <f>IF(ISERROR(Input!$G112/Input!$H112),"",Input!$G112/Input!$H112)</f>
        <v/>
      </c>
      <c r="Q32" s="69" t="str">
        <f>IF(AND(Input!$B7&lt;&gt;"",Input!$D7=""),IF(ISERROR(Input!IE49/Input!$J49),"NA",Input!$I49/Input!$J49),"")</f>
        <v>NA</v>
      </c>
      <c r="R32" s="70" t="str">
        <f>IF(ISERROR(Input!$I70/Input!$J70),"",Input!$I70/Input!$J70)</f>
        <v/>
      </c>
      <c r="S32" s="71"/>
      <c r="T32" s="70" t="str">
        <f>IF(ISERROR(Input!$I91/Input!$J91),"",Input!$I91/Input!$J91)</f>
        <v/>
      </c>
      <c r="U32" s="72" t="str">
        <f>IF(ISERROR(Input!$I112/Input!$J112),"",Input!$I112/Input!$J112)</f>
        <v/>
      </c>
      <c r="V32" s="69" t="str">
        <f>IF(AND(Input!$B7&lt;&gt;"",Input!$D7=""),IF(ISERROR(Input!II49/Input!$L49),"NA",Input!$K49/Input!$L49),"")</f>
        <v>NA</v>
      </c>
      <c r="W32" s="70" t="str">
        <f>IF(ISERROR(Input!$K70/Input!$L70),"",Input!$K70/Input!$L70)</f>
        <v/>
      </c>
      <c r="X32" s="71"/>
      <c r="Y32" s="70" t="str">
        <f>IF(ISERROR(Input!$K91/Input!$L91),"",Input!$K91/Input!$L91)</f>
        <v/>
      </c>
      <c r="Z32" s="72" t="str">
        <f>IF(ISERROR(Input!$K112/Input!$L112),"",Input!$K112/Input!$L112)</f>
        <v/>
      </c>
    </row>
    <row r="33" spans="1:26">
      <c r="A33" s="6" t="str">
        <f>IF(AND(Input!D8="",Input!B8&lt;&gt;""),Input!B8,"")</f>
        <v>K.G Krishnamurty</v>
      </c>
      <c r="B33" s="62">
        <f>IF(AND(Input!$B8&lt;&gt;"",Input!$D8=""),IF(ISERROR(Input!$C50/Input!$D50),"NA",Input!$C50/Input!$D50),"")</f>
        <v>1</v>
      </c>
      <c r="C33" s="63" t="str">
        <f>IF(ISERROR(Input!$C71/Input!$D71),"",Input!$C71/Input!$D71)</f>
        <v/>
      </c>
      <c r="D33" s="64"/>
      <c r="E33" s="63" t="str">
        <f t="array" ref="E33">IF(ISERROR(Input!$C92/Input!$D92),"",Input!$C92/Input!$D92)</f>
        <v/>
      </c>
      <c r="F33" s="65" t="str">
        <f t="array" ref="F33">IF(ISERROR(Input!$C113/Input!$D113),"",Input!$C113/Input!$D113)</f>
        <v/>
      </c>
      <c r="G33" s="69">
        <f>IF(AND(Input!$B8&lt;&gt;"",Input!$D8=""),IF(ISERROR(Input!$E50/Input!$F50),"NA",Input!$E50/Input!$F50),"")</f>
        <v>0.8</v>
      </c>
      <c r="H33" s="70" t="str">
        <f>IF(ISERROR(Input!$E71/Input!$F71),"",Input!$E71/Input!$F71)</f>
        <v/>
      </c>
      <c r="I33" s="71"/>
      <c r="J33" s="70" t="str">
        <f>IF(ISERROR(Input!$E92/Input!$F92),"",Input!$E92/Input!$F92)</f>
        <v/>
      </c>
      <c r="K33" s="72" t="str">
        <f>IF(ISERROR(Input!$E113/Input!$F113),"",Input!$E113/Input!$F113)</f>
        <v/>
      </c>
      <c r="L33" s="69">
        <f>IF(AND(Input!$B8&lt;&gt;"",Input!$D8=""),IF(ISERROR(Input!$G50/Input!$H50),"NA",Input!$G50/Input!$H50),"")</f>
        <v>1</v>
      </c>
      <c r="M33" s="70" t="str">
        <f>IF(ISERROR(Input!$G71/Input!$H71),"",Input!$G71/Input!$H71)</f>
        <v/>
      </c>
      <c r="N33" s="71"/>
      <c r="O33" s="70" t="str">
        <f>IF(ISERROR(Input!$G92/Input!$H92),"",Input!$G92/Input!$H92)</f>
        <v/>
      </c>
      <c r="P33" s="72" t="str">
        <f>IF(ISERROR(Input!$G113/Input!$H113),"",Input!$G113/Input!$H113)</f>
        <v/>
      </c>
      <c r="Q33" s="69" t="str">
        <f>IF(AND(Input!$B8&lt;&gt;"",Input!$D8=""),IF(ISERROR(Input!IE50/Input!$J50),"NA",Input!$I50/Input!$J50),"")</f>
        <v>NA</v>
      </c>
      <c r="R33" s="70" t="str">
        <f>IF(ISERROR(Input!$I71/Input!$J71),"",Input!$I71/Input!$J71)</f>
        <v/>
      </c>
      <c r="S33" s="71"/>
      <c r="T33" s="70" t="str">
        <f>IF(ISERROR(Input!$I92/Input!$J92),"",Input!$I92/Input!$J92)</f>
        <v/>
      </c>
      <c r="U33" s="72" t="str">
        <f>IF(ISERROR(Input!$I113/Input!$J113),"",Input!$I113/Input!$J113)</f>
        <v/>
      </c>
      <c r="V33" s="69" t="str">
        <f>IF(AND(Input!$B8&lt;&gt;"",Input!$D8=""),IF(ISERROR(Input!II50/Input!$L50),"NA",Input!$K50/Input!$L50),"")</f>
        <v>NA</v>
      </c>
      <c r="W33" s="70" t="str">
        <f>IF(ISERROR(Input!$K71/Input!$L71),"",Input!$K71/Input!$L71)</f>
        <v/>
      </c>
      <c r="X33" s="71"/>
      <c r="Y33" s="70" t="str">
        <f>IF(ISERROR(Input!$K92/Input!$L92),"",Input!$K92/Input!$L92)</f>
        <v/>
      </c>
      <c r="Z33" s="72" t="str">
        <f>IF(ISERROR(Input!$K113/Input!$L113),"",Input!$K113/Input!$L113)</f>
        <v/>
      </c>
    </row>
    <row r="34" spans="1:26">
      <c r="A34" s="6" t="str">
        <f>IF(AND(Input!D9="",Input!B9&lt;&gt;""),Input!B9,"")</f>
        <v>S.G Mankad</v>
      </c>
      <c r="B34" s="62">
        <f>IF(AND(Input!$B9&lt;&gt;"",Input!$D9=""),IF(ISERROR(Input!$C51/Input!$D51),"NA",Input!$C51/Input!$D51),"")</f>
        <v>1</v>
      </c>
      <c r="C34" s="63" t="str">
        <f>IF(ISERROR(Input!$C72/Input!$D72),"",Input!$C72/Input!$D72)</f>
        <v/>
      </c>
      <c r="D34" s="64"/>
      <c r="E34" s="63" t="str">
        <f t="array" ref="E34">IF(ISERROR(Input!$C93/Input!$D93),"",Input!$C93/Input!$D93)</f>
        <v/>
      </c>
      <c r="F34" s="65" t="str">
        <f t="array" ref="F34">IF(ISERROR(Input!$C114/Input!$D114),"",Input!$C114/Input!$D114)</f>
        <v/>
      </c>
      <c r="G34" s="69">
        <f>IF(AND(Input!$B9&lt;&gt;"",Input!$D9=""),IF(ISERROR(Input!$E51/Input!$F51),"NA",Input!$E51/Input!$F51),"")</f>
        <v>0.8</v>
      </c>
      <c r="H34" s="70" t="str">
        <f>IF(ISERROR(Input!$E72/Input!$F72),"",Input!$E72/Input!$F72)</f>
        <v/>
      </c>
      <c r="I34" s="71"/>
      <c r="J34" s="70" t="str">
        <f>IF(ISERROR(Input!$E93/Input!$F93),"",Input!$E93/Input!$F93)</f>
        <v/>
      </c>
      <c r="K34" s="72" t="str">
        <f>IF(ISERROR(Input!$E114/Input!$F114),"",Input!$E114/Input!$F114)</f>
        <v/>
      </c>
      <c r="L34" s="69">
        <f>IF(AND(Input!$B9&lt;&gt;"",Input!$D9=""),IF(ISERROR(Input!$G51/Input!$H51),"NA",Input!$G51/Input!$H51),"")</f>
        <v>1</v>
      </c>
      <c r="M34" s="70" t="str">
        <f>IF(ISERROR(Input!$G72/Input!$H72),"",Input!$G72/Input!$H72)</f>
        <v/>
      </c>
      <c r="N34" s="71"/>
      <c r="O34" s="70" t="str">
        <f>IF(ISERROR(Input!$G93/Input!$H93),"",Input!$G93/Input!$H93)</f>
        <v/>
      </c>
      <c r="P34" s="72" t="str">
        <f>IF(ISERROR(Input!$G114/Input!$H114),"",Input!$G114/Input!$H114)</f>
        <v/>
      </c>
      <c r="Q34" s="69" t="str">
        <f>IF(AND(Input!$B9&lt;&gt;"",Input!$D9=""),IF(ISERROR(Input!IE51/Input!$J51),"NA",Input!$I51/Input!$J51),"")</f>
        <v>NA</v>
      </c>
      <c r="R34" s="70" t="str">
        <f>IF(ISERROR(Input!$I72/Input!$J72),"",Input!$I72/Input!$J72)</f>
        <v/>
      </c>
      <c r="S34" s="71"/>
      <c r="T34" s="70" t="str">
        <f>IF(ISERROR(Input!$I93/Input!$J93),"",Input!$I93/Input!$J93)</f>
        <v/>
      </c>
      <c r="U34" s="72" t="str">
        <f>IF(ISERROR(Input!$I114/Input!$J114),"",Input!$I114/Input!$J114)</f>
        <v/>
      </c>
      <c r="V34" s="69" t="str">
        <f>IF(AND(Input!$B9&lt;&gt;"",Input!$D9=""),IF(ISERROR(Input!II51/Input!$L51),"NA",Input!$K51/Input!$L51),"")</f>
        <v>NA</v>
      </c>
      <c r="W34" s="70" t="str">
        <f>IF(ISERROR(Input!$K72/Input!$L72),"",Input!$K72/Input!$L72)</f>
        <v/>
      </c>
      <c r="X34" s="71"/>
      <c r="Y34" s="70" t="str">
        <f>IF(ISERROR(Input!$K93/Input!$L93),"",Input!$K93/Input!$L93)</f>
        <v/>
      </c>
      <c r="Z34" s="72" t="str">
        <f>IF(ISERROR(Input!$K114/Input!$L114),"",Input!$K114/Input!$L114)</f>
        <v/>
      </c>
    </row>
    <row r="35" spans="1:26">
      <c r="A35" s="6" t="str">
        <f>IF(AND(Input!D10="",Input!B10&lt;&gt;""),Input!B10,"")</f>
        <v>Kamlesh Shah</v>
      </c>
      <c r="B35" s="62">
        <f>IF(AND(Input!$B10&lt;&gt;"",Input!$D10=""),IF(ISERROR(Input!$C52/Input!$D52),"NA",Input!$C52/Input!$D52),"")</f>
        <v>1</v>
      </c>
      <c r="C35" s="63" t="str">
        <f>IF(ISERROR(Input!$C73/Input!$D73),"",Input!$C73/Input!$D73)</f>
        <v/>
      </c>
      <c r="D35" s="64"/>
      <c r="E35" s="63" t="str">
        <f t="array" ref="E35">IF(ISERROR(Input!$C94/Input!$D94),"",Input!$C94/Input!$D94)</f>
        <v/>
      </c>
      <c r="F35" s="65" t="str">
        <f t="array" ref="F35">IF(ISERROR(Input!$C115/Input!$D115),"",Input!$C115/Input!$D115)</f>
        <v/>
      </c>
      <c r="G35" s="69">
        <f>IF(AND(Input!$B10&lt;&gt;"",Input!$D10=""),IF(ISERROR(Input!$E52/Input!$F52),"NA",Input!$E52/Input!$F52),"")</f>
        <v>1</v>
      </c>
      <c r="H35" s="70" t="str">
        <f>IF(ISERROR(Input!$E73/Input!$F73),"",Input!$E73/Input!$F73)</f>
        <v/>
      </c>
      <c r="I35" s="71"/>
      <c r="J35" s="70" t="str">
        <f>IF(ISERROR(Input!$E94/Input!$F94),"",Input!$E94/Input!$F94)</f>
        <v/>
      </c>
      <c r="K35" s="72" t="str">
        <f>IF(ISERROR(Input!$E115/Input!$F115),"",Input!$E115/Input!$F115)</f>
        <v/>
      </c>
      <c r="L35" s="69">
        <f>IF(AND(Input!$B10&lt;&gt;"",Input!$D10=""),IF(ISERROR(Input!$G52/Input!$H52),"NA",Input!$G52/Input!$H52),"")</f>
        <v>1</v>
      </c>
      <c r="M35" s="70" t="str">
        <f>IF(ISERROR(Input!$G73/Input!$H73),"",Input!$G73/Input!$H73)</f>
        <v/>
      </c>
      <c r="N35" s="71"/>
      <c r="O35" s="70" t="str">
        <f>IF(ISERROR(Input!$G94/Input!$H94),"",Input!$G94/Input!$H94)</f>
        <v/>
      </c>
      <c r="P35" s="72" t="str">
        <f>IF(ISERROR(Input!$G115/Input!$H115),"",Input!$G115/Input!$H115)</f>
        <v/>
      </c>
      <c r="Q35" s="69" t="str">
        <f>IF(AND(Input!$B10&lt;&gt;"",Input!$D10=""),IF(ISERROR(Input!IE52/Input!$J52),"NA",Input!$I52/Input!$J52),"")</f>
        <v>NA</v>
      </c>
      <c r="R35" s="70" t="str">
        <f>IF(ISERROR(Input!$I73/Input!$J73),"",Input!$I73/Input!$J73)</f>
        <v/>
      </c>
      <c r="S35" s="71"/>
      <c r="T35" s="70" t="str">
        <f>IF(ISERROR(Input!$I94/Input!$J94),"",Input!$I94/Input!$J94)</f>
        <v/>
      </c>
      <c r="U35" s="72" t="str">
        <f>IF(ISERROR(Input!$I115/Input!$J115),"",Input!$I115/Input!$J115)</f>
        <v/>
      </c>
      <c r="V35" s="69" t="str">
        <f>IF(AND(Input!$B10&lt;&gt;"",Input!$D10=""),IF(ISERROR(Input!II52/Input!$L52),"NA",Input!$K52/Input!$L52),"")</f>
        <v>NA</v>
      </c>
      <c r="W35" s="70" t="str">
        <f>IF(ISERROR(Input!$K73/Input!$L73),"",Input!$K73/Input!$L73)</f>
        <v/>
      </c>
      <c r="X35" s="71"/>
      <c r="Y35" s="70" t="str">
        <f>IF(ISERROR(Input!$K94/Input!$L94),"",Input!$K94/Input!$L94)</f>
        <v/>
      </c>
      <c r="Z35" s="72" t="str">
        <f>IF(ISERROR(Input!$K115/Input!$L115),"",Input!$K115/Input!$L115)</f>
        <v/>
      </c>
    </row>
    <row r="36" spans="1:26">
      <c r="A36" s="6" t="str">
        <f>IF(AND(Input!D11="",Input!B11&lt;&gt;""),Input!B11,"")</f>
        <v>Sudhin Choksey</v>
      </c>
      <c r="B36" s="62">
        <f>IF(AND(Input!$B11&lt;&gt;"",Input!$D11=""),IF(ISERROR(Input!$C53/Input!$D53),"NA",Input!$C53/Input!$D53),"")</f>
        <v>0.75</v>
      </c>
      <c r="C36" s="63" t="str">
        <f>IF(ISERROR(Input!$C74/Input!$D74),"",Input!$C74/Input!$D74)</f>
        <v/>
      </c>
      <c r="D36" s="64"/>
      <c r="E36" s="63" t="str">
        <f t="array" ref="E36">IF(ISERROR(Input!$C95/Input!$D95),"",Input!$C95/Input!$D95)</f>
        <v/>
      </c>
      <c r="F36" s="65" t="str">
        <f t="array" ref="F36">IF(ISERROR(Input!$C116/Input!$D116),"",Input!$C116/Input!$D116)</f>
        <v/>
      </c>
      <c r="G36" s="69">
        <f>IF(AND(Input!$B11&lt;&gt;"",Input!$D11=""),IF(ISERROR(Input!$E53/Input!$F53),"NA",Input!$E53/Input!$F53),"")</f>
        <v>1</v>
      </c>
      <c r="H36" s="70" t="str">
        <f>IF(ISERROR(Input!$E74/Input!$F74),"",Input!$E74/Input!$F74)</f>
        <v/>
      </c>
      <c r="I36" s="71"/>
      <c r="J36" s="70" t="str">
        <f>IF(ISERROR(Input!$E95/Input!$F95),"",Input!$E95/Input!$F95)</f>
        <v/>
      </c>
      <c r="K36" s="72" t="str">
        <f>IF(ISERROR(Input!$E116/Input!$F116),"",Input!$E116/Input!$F116)</f>
        <v/>
      </c>
      <c r="L36" s="69">
        <f>IF(AND(Input!$B11&lt;&gt;"",Input!$D11=""),IF(ISERROR(Input!$G53/Input!$H53),"NA",Input!$G53/Input!$H53),"")</f>
        <v>1</v>
      </c>
      <c r="M36" s="70" t="str">
        <f>IF(ISERROR(Input!$G74/Input!$H74),"",Input!$G74/Input!$H74)</f>
        <v/>
      </c>
      <c r="N36" s="71"/>
      <c r="O36" s="70" t="str">
        <f>IF(ISERROR(Input!$G95/Input!$H95),"",Input!$G95/Input!$H95)</f>
        <v/>
      </c>
      <c r="P36" s="72" t="str">
        <f>IF(ISERROR(Input!$G116/Input!$H116),"",Input!$G116/Input!$H116)</f>
        <v/>
      </c>
      <c r="Q36" s="69" t="str">
        <f>IF(AND(Input!$B11&lt;&gt;"",Input!$D11=""),IF(ISERROR(Input!IE53/Input!$J53),"NA",Input!$I53/Input!$J53),"")</f>
        <v>NA</v>
      </c>
      <c r="R36" s="70" t="str">
        <f>IF(ISERROR(Input!$I74/Input!$J74),"",Input!$I74/Input!$J74)</f>
        <v/>
      </c>
      <c r="S36" s="71"/>
      <c r="T36" s="70" t="str">
        <f>IF(ISERROR(Input!$I95/Input!$J95),"",Input!$I95/Input!$J95)</f>
        <v/>
      </c>
      <c r="U36" s="72" t="str">
        <f>IF(ISERROR(Input!$I116/Input!$J116),"",Input!$I116/Input!$J116)</f>
        <v/>
      </c>
      <c r="V36" s="69" t="str">
        <f>IF(AND(Input!$B11&lt;&gt;"",Input!$D11=""),IF(ISERROR(Input!II53/Input!$L53),"NA",Input!$K53/Input!$L53),"")</f>
        <v>NA</v>
      </c>
      <c r="W36" s="70" t="str">
        <f>IF(ISERROR(Input!$K74/Input!$L74),"",Input!$K74/Input!$L74)</f>
        <v/>
      </c>
      <c r="X36" s="71"/>
      <c r="Y36" s="70" t="str">
        <f>IF(ISERROR(Input!$K95/Input!$L95),"",Input!$K95/Input!$L95)</f>
        <v/>
      </c>
      <c r="Z36" s="72" t="str">
        <f>IF(ISERROR(Input!$K116/Input!$L116),"",Input!$K116/Input!$L116)</f>
        <v/>
      </c>
    </row>
    <row r="37" spans="1:26">
      <c r="A37" s="6" t="str">
        <f>IF(AND(Input!D12="",Input!B12&lt;&gt;""),Input!B12,"")</f>
        <v/>
      </c>
      <c r="B37" s="62" t="str">
        <f>IF(AND(Input!$B12&lt;&gt;"",Input!$D12=""),IF(ISERROR(Input!$C54/Input!$D54),"NA",Input!$C54/Input!$D54),"")</f>
        <v/>
      </c>
      <c r="C37" s="63" t="str">
        <f>IF(ISERROR(Input!$C75/Input!$D75),"",Input!$C75/Input!$D75)</f>
        <v/>
      </c>
      <c r="D37" s="64"/>
      <c r="E37" s="63" t="str">
        <f t="array" ref="E37">IF(ISERROR(Input!$C96/Input!$D96),"",Input!$C96/Input!$D96)</f>
        <v/>
      </c>
      <c r="F37" s="65" t="str">
        <f t="array" ref="F37">IF(ISERROR(Input!$C117/Input!$D117),"",Input!$C117/Input!$D117)</f>
        <v/>
      </c>
      <c r="G37" s="69" t="str">
        <f>IF(AND(Input!$B12&lt;&gt;"",Input!$D12=""),IF(ISERROR(Input!$E54/Input!$F54),"NA",Input!$E54/Input!$F54),"")</f>
        <v/>
      </c>
      <c r="H37" s="70" t="str">
        <f>IF(ISERROR(Input!$E75/Input!$F75),"",Input!$E75/Input!$F75)</f>
        <v/>
      </c>
      <c r="I37" s="71"/>
      <c r="J37" s="70" t="str">
        <f>IF(ISERROR(Input!$E96/Input!$F96),"",Input!$E96/Input!$F96)</f>
        <v/>
      </c>
      <c r="K37" s="72" t="str">
        <f>IF(ISERROR(Input!$E117/Input!$F117),"",Input!$E117/Input!$F117)</f>
        <v/>
      </c>
      <c r="L37" s="69" t="str">
        <f>IF(AND(Input!$B12&lt;&gt;"",Input!$D12=""),IF(ISERROR(Input!$G54/Input!$H54),"NA",Input!$G54/Input!$H54),"")</f>
        <v/>
      </c>
      <c r="M37" s="70" t="str">
        <f>IF(ISERROR(Input!$G75/Input!$H75),"",Input!$G75/Input!$H75)</f>
        <v/>
      </c>
      <c r="N37" s="71"/>
      <c r="O37" s="70" t="str">
        <f>IF(ISERROR(Input!$G96/Input!$H96),"",Input!$G96/Input!$H96)</f>
        <v/>
      </c>
      <c r="P37" s="72" t="str">
        <f>IF(ISERROR(Input!$G117/Input!$H117),"",Input!$G117/Input!$H117)</f>
        <v/>
      </c>
      <c r="Q37" s="69" t="str">
        <f>IF(AND(Input!$B12&lt;&gt;"",Input!$D12=""),IF(ISERROR(Input!IE54/Input!$J54),"NA",Input!$I54/Input!$J54),"")</f>
        <v/>
      </c>
      <c r="R37" s="70" t="str">
        <f>IF(ISERROR(Input!$I75/Input!$J75),"",Input!$I75/Input!$J75)</f>
        <v/>
      </c>
      <c r="S37" s="71"/>
      <c r="T37" s="70" t="str">
        <f>IF(ISERROR(Input!$I96/Input!$J96),"",Input!$I96/Input!$J96)</f>
        <v/>
      </c>
      <c r="U37" s="72" t="str">
        <f>IF(ISERROR(Input!$I117/Input!$J117),"",Input!$I117/Input!$J117)</f>
        <v/>
      </c>
      <c r="V37" s="69" t="str">
        <f>IF(AND(Input!$B12&lt;&gt;"",Input!$D12=""),IF(ISERROR(Input!II54/Input!$L54),"NA",Input!$K54/Input!$L54),"")</f>
        <v/>
      </c>
      <c r="W37" s="70" t="str">
        <f>IF(ISERROR(Input!$K75/Input!$L75),"",Input!$K75/Input!$L75)</f>
        <v/>
      </c>
      <c r="X37" s="71"/>
      <c r="Y37" s="70" t="str">
        <f>IF(ISERROR(Input!$K96/Input!$L96),"",Input!$K96/Input!$L96)</f>
        <v/>
      </c>
      <c r="Z37" s="72" t="str">
        <f>IF(ISERROR(Input!$K117/Input!$L117),"",Input!$K117/Input!$L117)</f>
        <v/>
      </c>
    </row>
    <row r="38" spans="1:26">
      <c r="A38" s="6" t="str">
        <f>IF(AND(Input!D13="",Input!B13&lt;&gt;""),Input!B13,"")</f>
        <v/>
      </c>
      <c r="B38" s="62" t="str">
        <f>IF(AND(Input!$B13&lt;&gt;"",Input!$D13=""),IF(ISERROR(Input!$C55/Input!$D55),"NA",Input!$C55/Input!$D55),"")</f>
        <v/>
      </c>
      <c r="C38" s="63" t="str">
        <f>IF(ISERROR(Input!$C76/Input!$D76),"",Input!$C76/Input!$D76)</f>
        <v/>
      </c>
      <c r="D38" s="64"/>
      <c r="E38" s="63" t="str">
        <f t="array" ref="E38">IF(ISERROR(Input!$C97/Input!$D97),"",Input!$C97/Input!$D97)</f>
        <v/>
      </c>
      <c r="F38" s="65" t="str">
        <f t="array" ref="F38">IF(ISERROR(Input!$C118/Input!$D118),"",Input!$C118/Input!$D118)</f>
        <v/>
      </c>
      <c r="G38" s="69" t="str">
        <f>IF(AND(Input!$B13&lt;&gt;"",Input!$D13=""),IF(ISERROR(Input!$E55/Input!$F55),"NA",Input!$E55/Input!$F55),"")</f>
        <v/>
      </c>
      <c r="H38" s="70" t="str">
        <f>IF(ISERROR(Input!$E76/Input!$F76),"",Input!$E76/Input!$F76)</f>
        <v/>
      </c>
      <c r="I38" s="71"/>
      <c r="J38" s="70" t="str">
        <f>IF(ISERROR(Input!$E97/Input!$F97),"",Input!$E97/Input!$F97)</f>
        <v/>
      </c>
      <c r="K38" s="72" t="str">
        <f>IF(ISERROR(Input!$E118/Input!$F118),"",Input!$E118/Input!$F118)</f>
        <v/>
      </c>
      <c r="L38" s="69" t="str">
        <f>IF(AND(Input!$B13&lt;&gt;"",Input!$D13=""),IF(ISERROR(Input!$G55/Input!$H55),"NA",Input!$G55/Input!$H55),"")</f>
        <v/>
      </c>
      <c r="M38" s="70" t="str">
        <f>IF(ISERROR(Input!$G76/Input!$H76),"",Input!$G76/Input!$H76)</f>
        <v/>
      </c>
      <c r="N38" s="71"/>
      <c r="O38" s="70" t="str">
        <f>IF(ISERROR(Input!$G97/Input!$H97),"",Input!$G97/Input!$H97)</f>
        <v/>
      </c>
      <c r="P38" s="72" t="str">
        <f>IF(ISERROR(Input!$G118/Input!$H118),"",Input!$G118/Input!$H118)</f>
        <v/>
      </c>
      <c r="Q38" s="69" t="str">
        <f>IF(AND(Input!$B13&lt;&gt;"",Input!$D13=""),IF(ISERROR(Input!IE55/Input!$J55),"NA",Input!$I55/Input!$J55),"")</f>
        <v/>
      </c>
      <c r="R38" s="70" t="str">
        <f>IF(ISERROR(Input!$I76/Input!$J76),"",Input!$I76/Input!$J76)</f>
        <v/>
      </c>
      <c r="S38" s="71"/>
      <c r="T38" s="70" t="str">
        <f>IF(ISERROR(Input!$I97/Input!$J97),"",Input!$I97/Input!$J97)</f>
        <v/>
      </c>
      <c r="U38" s="72" t="str">
        <f>IF(ISERROR(Input!$I118/Input!$J118),"",Input!$I118/Input!$J118)</f>
        <v/>
      </c>
      <c r="V38" s="69" t="str">
        <f>IF(AND(Input!$B13&lt;&gt;"",Input!$D13=""),IF(ISERROR(Input!II55/Input!$L55),"NA",Input!$K55/Input!$L55),"")</f>
        <v/>
      </c>
      <c r="W38" s="70" t="str">
        <f>IF(ISERROR(Input!$K76/Input!$L76),"",Input!$K76/Input!$L76)</f>
        <v/>
      </c>
      <c r="X38" s="71"/>
      <c r="Y38" s="70" t="str">
        <f>IF(ISERROR(Input!$K97/Input!$L97),"",Input!$K97/Input!$L97)</f>
        <v/>
      </c>
      <c r="Z38" s="72" t="str">
        <f>IF(ISERROR(Input!$K118/Input!$L118),"",Input!$K118/Input!$L118)</f>
        <v/>
      </c>
    </row>
    <row r="39" spans="1:26">
      <c r="A39" s="6" t="str">
        <f>IF(AND(Input!D14="",Input!B14&lt;&gt;""),Input!B14,"")</f>
        <v/>
      </c>
      <c r="B39" s="62" t="str">
        <f>IF(AND(Input!$B14&lt;&gt;"",Input!$D14=""),IF(ISERROR(Input!$C56/Input!$D56),"NA",Input!$C56/Input!$D56),"")</f>
        <v/>
      </c>
      <c r="C39" s="63" t="str">
        <f>IF(ISERROR(Input!$C77/Input!$D77),"",Input!$C77/Input!$D77)</f>
        <v/>
      </c>
      <c r="D39" s="64"/>
      <c r="E39" s="63" t="str">
        <f t="array" ref="E39">IF(ISERROR(Input!$C98/Input!$D98),"",Input!$C98/Input!$D98)</f>
        <v/>
      </c>
      <c r="F39" s="65" t="str">
        <f t="array" ref="F39">IF(ISERROR(Input!$C119/Input!$D119),"",Input!$C119/Input!$D119)</f>
        <v/>
      </c>
      <c r="G39" s="69" t="str">
        <f>IF(AND(Input!$B14&lt;&gt;"",Input!$D14=""),IF(ISERROR(Input!$E56/Input!$F56),"NA",Input!$E56/Input!$F56),"")</f>
        <v/>
      </c>
      <c r="H39" s="70" t="str">
        <f>IF(ISERROR(Input!$E77/Input!$F77),"",Input!$E77/Input!$F77)</f>
        <v/>
      </c>
      <c r="I39" s="71"/>
      <c r="J39" s="70" t="str">
        <f>IF(ISERROR(Input!$E98/Input!$F98),"",Input!$E98/Input!$F98)</f>
        <v/>
      </c>
      <c r="K39" s="72" t="str">
        <f>IF(ISERROR(Input!$E119/Input!$F119),"",Input!$E119/Input!$F119)</f>
        <v/>
      </c>
      <c r="L39" s="69" t="str">
        <f>IF(AND(Input!$B14&lt;&gt;"",Input!$D14=""),IF(ISERROR(Input!$G56/Input!$H56),"NA",Input!$G56/Input!$H56),"")</f>
        <v/>
      </c>
      <c r="M39" s="70" t="str">
        <f>IF(ISERROR(Input!$G77/Input!$H77),"",Input!$G77/Input!$H77)</f>
        <v/>
      </c>
      <c r="N39" s="71"/>
      <c r="O39" s="70" t="str">
        <f>IF(ISERROR(Input!$G98/Input!$H98),"",Input!$G98/Input!$H98)</f>
        <v/>
      </c>
      <c r="P39" s="72" t="str">
        <f>IF(ISERROR(Input!$G119/Input!$H119),"",Input!$G119/Input!$H119)</f>
        <v/>
      </c>
      <c r="Q39" s="69" t="str">
        <f>IF(AND(Input!$B14&lt;&gt;"",Input!$D14=""),IF(ISERROR(Input!IE56/Input!$J56),"NA",Input!$I56/Input!$J56),"")</f>
        <v/>
      </c>
      <c r="R39" s="70" t="str">
        <f>IF(ISERROR(Input!$I77/Input!$J77),"",Input!$I77/Input!$J77)</f>
        <v/>
      </c>
      <c r="S39" s="71"/>
      <c r="T39" s="70" t="str">
        <f>IF(ISERROR(Input!$I98/Input!$J98),"",Input!$I98/Input!$J98)</f>
        <v/>
      </c>
      <c r="U39" s="72" t="str">
        <f>IF(ISERROR(Input!$I119/Input!$J119),"",Input!$I119/Input!$J119)</f>
        <v/>
      </c>
      <c r="V39" s="69" t="str">
        <f>IF(AND(Input!$B14&lt;&gt;"",Input!$D14=""),IF(ISERROR(Input!II56/Input!$L56),"NA",Input!$K56/Input!$L56),"")</f>
        <v/>
      </c>
      <c r="W39" s="70" t="str">
        <f>IF(ISERROR(Input!$K77/Input!$L77),"",Input!$K77/Input!$L77)</f>
        <v/>
      </c>
      <c r="X39" s="71"/>
      <c r="Y39" s="70" t="str">
        <f>IF(ISERROR(Input!$K98/Input!$L98),"",Input!$K98/Input!$L98)</f>
        <v/>
      </c>
      <c r="Z39" s="72" t="str">
        <f>IF(ISERROR(Input!$K119/Input!$L119),"",Input!$K119/Input!$L119)</f>
        <v/>
      </c>
    </row>
    <row r="40" spans="1:26">
      <c r="A40" s="6" t="str">
        <f>IF(AND(Input!D15="",Input!B15&lt;&gt;""),Input!B15,"")</f>
        <v/>
      </c>
      <c r="B40" s="62" t="str">
        <f>IF(AND(Input!$B15&lt;&gt;"",Input!$D15=""),IF(ISERROR(Input!$C57/Input!$D57),"NA",Input!$C57/Input!$D57),"")</f>
        <v/>
      </c>
      <c r="C40" s="63" t="str">
        <f>IF(ISERROR(Input!$C78/Input!$D78),"",Input!$C78/Input!$D78)</f>
        <v/>
      </c>
      <c r="D40" s="64"/>
      <c r="E40" s="63" t="str">
        <f t="array" ref="E40">IF(ISERROR(Input!$C99/Input!$D99),"",Input!$C99/Input!$D99)</f>
        <v/>
      </c>
      <c r="F40" s="65" t="str">
        <f t="array" ref="F40">IF(ISERROR(Input!$C120/Input!$D120),"",Input!$C120/Input!$D120)</f>
        <v/>
      </c>
      <c r="G40" s="69" t="str">
        <f>IF(AND(Input!$B15&lt;&gt;"",Input!$D15=""),IF(ISERROR(Input!$E57/Input!$F57),"NA",Input!$E57/Input!$F57),"")</f>
        <v/>
      </c>
      <c r="H40" s="70" t="str">
        <f>IF(ISERROR(Input!$E78/Input!$F78),"",Input!$E78/Input!$F78)</f>
        <v/>
      </c>
      <c r="I40" s="71"/>
      <c r="J40" s="70" t="str">
        <f>IF(ISERROR(Input!$E99/Input!$F99),"",Input!$E99/Input!$F99)</f>
        <v/>
      </c>
      <c r="K40" s="72" t="str">
        <f>IF(ISERROR(Input!$E120/Input!$F120),"",Input!$E120/Input!$F120)</f>
        <v/>
      </c>
      <c r="L40" s="69" t="str">
        <f>IF(AND(Input!$B15&lt;&gt;"",Input!$D15=""),IF(ISERROR(Input!$G57/Input!$H57),"NA",Input!$G57/Input!$H57),"")</f>
        <v/>
      </c>
      <c r="M40" s="70" t="str">
        <f>IF(ISERROR(Input!$G78/Input!$H78),"",Input!$G78/Input!$H78)</f>
        <v/>
      </c>
      <c r="N40" s="71"/>
      <c r="O40" s="70" t="str">
        <f>IF(ISERROR(Input!$G99/Input!$H99),"",Input!$G99/Input!$H99)</f>
        <v/>
      </c>
      <c r="P40" s="72" t="str">
        <f>IF(ISERROR(Input!$G120/Input!$H120),"",Input!$G120/Input!$H120)</f>
        <v/>
      </c>
      <c r="Q40" s="69" t="str">
        <f>IF(AND(Input!$B15&lt;&gt;"",Input!$D15=""),IF(ISERROR(Input!IE57/Input!$J57),"NA",Input!$I57/Input!$J57),"")</f>
        <v/>
      </c>
      <c r="R40" s="70" t="str">
        <f>IF(ISERROR(Input!$I78/Input!$J78),"",Input!$I78/Input!$J78)</f>
        <v/>
      </c>
      <c r="S40" s="71"/>
      <c r="T40" s="70" t="str">
        <f>IF(ISERROR(Input!$I99/Input!$J99),"",Input!$I99/Input!$J99)</f>
        <v/>
      </c>
      <c r="U40" s="72" t="str">
        <f>IF(ISERROR(Input!$I120/Input!$J120),"",Input!$I120/Input!$J120)</f>
        <v/>
      </c>
      <c r="V40" s="69" t="str">
        <f>IF(AND(Input!$B15&lt;&gt;"",Input!$D15=""),IF(ISERROR(Input!II57/Input!$L57),"NA",Input!$K57/Input!$L57),"")</f>
        <v/>
      </c>
      <c r="W40" s="70" t="str">
        <f>IF(ISERROR(Input!$K78/Input!$L78),"",Input!$K78/Input!$L78)</f>
        <v/>
      </c>
      <c r="X40" s="71"/>
      <c r="Y40" s="70" t="str">
        <f>IF(ISERROR(Input!$K99/Input!$L99),"",Input!$K99/Input!$L99)</f>
        <v/>
      </c>
      <c r="Z40" s="72" t="str">
        <f>IF(ISERROR(Input!$K120/Input!$L120),"",Input!$K120/Input!$L120)</f>
        <v/>
      </c>
    </row>
    <row r="41" spans="1:26">
      <c r="A41" s="6" t="str">
        <f>IF(AND(Input!D16="",Input!B16&lt;&gt;""),Input!B16,"")</f>
        <v/>
      </c>
      <c r="B41" s="62" t="str">
        <f>IF(AND(Input!$B16&lt;&gt;"",Input!$D16=""),IF(ISERROR(Input!$C58/Input!$D58),"NA",Input!$C58/Input!$D58),"")</f>
        <v/>
      </c>
      <c r="C41" s="63" t="str">
        <f>IF(ISERROR(Input!$C79/Input!$D79),"",Input!$C79/Input!$D79)</f>
        <v/>
      </c>
      <c r="D41" s="64"/>
      <c r="E41" s="63" t="str">
        <f t="array" ref="E41">IF(ISERROR(Input!$C100/Input!$D100),"",Input!$C100/Input!$D100)</f>
        <v/>
      </c>
      <c r="F41" s="65" t="str">
        <f t="array" ref="F41">IF(ISERROR(Input!$C121/Input!$D121),"",Input!$C121/Input!$D121)</f>
        <v/>
      </c>
      <c r="G41" s="69" t="str">
        <f>IF(AND(Input!$B16&lt;&gt;"",Input!$D16=""),IF(ISERROR(Input!$E58/Input!$F58),"NA",Input!$E58/Input!$F58),"")</f>
        <v/>
      </c>
      <c r="H41" s="70" t="str">
        <f>IF(ISERROR(Input!$E79/Input!$F79),"",Input!$E79/Input!$F79)</f>
        <v/>
      </c>
      <c r="I41" s="71"/>
      <c r="J41" s="70" t="str">
        <f>IF(ISERROR(Input!$E100/Input!$F100),"",Input!$E100/Input!$F100)</f>
        <v/>
      </c>
      <c r="K41" s="72" t="str">
        <f>IF(ISERROR(Input!$E121/Input!$F121),"",Input!$E121/Input!$F121)</f>
        <v/>
      </c>
      <c r="L41" s="69" t="str">
        <f>IF(AND(Input!$B16&lt;&gt;"",Input!$D16=""),IF(ISERROR(Input!$G58/Input!$H58),"NA",Input!$G58/Input!$H58),"")</f>
        <v/>
      </c>
      <c r="M41" s="70" t="str">
        <f>IF(ISERROR(Input!$G79/Input!$H79),"",Input!$G79/Input!$H79)</f>
        <v/>
      </c>
      <c r="N41" s="71"/>
      <c r="O41" s="70" t="str">
        <f>IF(ISERROR(Input!$G100/Input!$H100),"",Input!$G100/Input!$H100)</f>
        <v/>
      </c>
      <c r="P41" s="72" t="str">
        <f>IF(ISERROR(Input!$G121/Input!$H121),"",Input!$G121/Input!$H121)</f>
        <v/>
      </c>
      <c r="Q41" s="69" t="str">
        <f>IF(AND(Input!$B16&lt;&gt;"",Input!$D16=""),IF(ISERROR(Input!IE58/Input!$J58),"NA",Input!$I58/Input!$J58),"")</f>
        <v/>
      </c>
      <c r="R41" s="70" t="str">
        <f>IF(ISERROR(Input!$I79/Input!$J79),"",Input!$I79/Input!$J79)</f>
        <v/>
      </c>
      <c r="S41" s="71"/>
      <c r="T41" s="70" t="str">
        <f>IF(ISERROR(Input!$I100/Input!$J100),"",Input!$I100/Input!$J100)</f>
        <v/>
      </c>
      <c r="U41" s="72" t="str">
        <f>IF(ISERROR(Input!$I121/Input!$J121),"",Input!$I121/Input!$J121)</f>
        <v/>
      </c>
      <c r="V41" s="69" t="str">
        <f>IF(AND(Input!$B16&lt;&gt;"",Input!$D16=""),IF(ISERROR(Input!II58/Input!$L58),"NA",Input!$K58/Input!$L58),"")</f>
        <v/>
      </c>
      <c r="W41" s="70" t="str">
        <f>IF(ISERROR(Input!$K79/Input!$L79),"",Input!$K79/Input!$L79)</f>
        <v/>
      </c>
      <c r="X41" s="71"/>
      <c r="Y41" s="70" t="str">
        <f>IF(ISERROR(Input!$K100/Input!$L100),"",Input!$K100/Input!$L100)</f>
        <v/>
      </c>
      <c r="Z41" s="72" t="str">
        <f>IF(ISERROR(Input!$K121/Input!$L121),"",Input!$K121/Input!$L121)</f>
        <v/>
      </c>
    </row>
    <row r="42" spans="1:26">
      <c r="A42" s="6" t="str">
        <f>IF(AND(Input!D17="",Input!B17&lt;&gt;""),Input!B17,"")</f>
        <v/>
      </c>
      <c r="B42" s="62" t="str">
        <f>IF(AND(Input!$B17&lt;&gt;"",Input!$D17=""),IF(ISERROR(Input!$C59/Input!$D59),"NA",Input!$C59/Input!$D59),"")</f>
        <v/>
      </c>
      <c r="C42" s="63" t="str">
        <f>IF(ISERROR(Input!$C80/Input!$D80),"",Input!$C80/Input!$D80)</f>
        <v/>
      </c>
      <c r="D42" s="64"/>
      <c r="E42" s="63" t="str">
        <f t="array" ref="E42">IF(ISERROR(Input!$C101/Input!$D101),"",Input!$C101/Input!$D101)</f>
        <v/>
      </c>
      <c r="F42" s="65" t="str">
        <f t="array" ref="F42">IF(ISERROR(Input!$C122/Input!$D122),"",Input!$C122/Input!$D122)</f>
        <v/>
      </c>
      <c r="G42" s="69" t="str">
        <f>IF(AND(Input!$B17&lt;&gt;"",Input!$D17=""),IF(ISERROR(Input!$E59/Input!$F59),"NA",Input!$E59/Input!$F59),"")</f>
        <v/>
      </c>
      <c r="H42" s="70" t="str">
        <f>IF(ISERROR(Input!$E80/Input!$F80),"",Input!$E80/Input!$F80)</f>
        <v/>
      </c>
      <c r="I42" s="71"/>
      <c r="J42" s="70" t="str">
        <f>IF(ISERROR(Input!$E101/Input!$F101),"",Input!$E101/Input!$F101)</f>
        <v/>
      </c>
      <c r="K42" s="72" t="str">
        <f>IF(ISERROR(Input!$E122/Input!$F122),"",Input!$E122/Input!$F122)</f>
        <v/>
      </c>
      <c r="L42" s="69" t="str">
        <f>IF(AND(Input!$B17&lt;&gt;"",Input!$D17=""),IF(ISERROR(Input!$G59/Input!$H59),"NA",Input!$G59/Input!$H59),"")</f>
        <v/>
      </c>
      <c r="M42" s="70" t="str">
        <f>IF(ISERROR(Input!$G80/Input!$H80),"",Input!$G80/Input!$H80)</f>
        <v/>
      </c>
      <c r="N42" s="71"/>
      <c r="O42" s="70" t="str">
        <f>IF(ISERROR(Input!$G101/Input!$H101),"",Input!$G101/Input!$H101)</f>
        <v/>
      </c>
      <c r="P42" s="72" t="str">
        <f>IF(ISERROR(Input!$G122/Input!$H122),"",Input!$G122/Input!$H122)</f>
        <v/>
      </c>
      <c r="Q42" s="69" t="str">
        <f>IF(AND(Input!$B17&lt;&gt;"",Input!$D17=""),IF(ISERROR(Input!IE59/Input!$J59),"NA",Input!$I59/Input!$J59),"")</f>
        <v/>
      </c>
      <c r="R42" s="70" t="str">
        <f>IF(ISERROR(Input!$I80/Input!$J80),"",Input!$I80/Input!$J80)</f>
        <v/>
      </c>
      <c r="S42" s="71"/>
      <c r="T42" s="70" t="str">
        <f>IF(ISERROR(Input!$I101/Input!$J101),"",Input!$I101/Input!$J101)</f>
        <v/>
      </c>
      <c r="U42" s="72" t="str">
        <f>IF(ISERROR(Input!$I122/Input!$J122),"",Input!$I122/Input!$J122)</f>
        <v/>
      </c>
      <c r="V42" s="69" t="str">
        <f>IF(AND(Input!$B17&lt;&gt;"",Input!$D17=""),IF(ISERROR(Input!II59/Input!$L59),"NA",Input!$K59/Input!$L59),"")</f>
        <v/>
      </c>
      <c r="W42" s="70" t="str">
        <f>IF(ISERROR(Input!$K80/Input!$L80),"",Input!$K80/Input!$L80)</f>
        <v/>
      </c>
      <c r="X42" s="71"/>
      <c r="Y42" s="70" t="str">
        <f>IF(ISERROR(Input!$K101/Input!$L101),"",Input!$K101/Input!$L101)</f>
        <v/>
      </c>
      <c r="Z42" s="72" t="str">
        <f>IF(ISERROR(Input!$K122/Input!$L122),"",Input!$K122/Input!$L122)</f>
        <v/>
      </c>
    </row>
    <row r="43" spans="1:26">
      <c r="A43" s="6" t="str">
        <f>IF(AND(Input!D18="",Input!B18&lt;&gt;""),Input!B18,"")</f>
        <v/>
      </c>
      <c r="B43" s="62" t="str">
        <f>IF(AND(Input!$B18&lt;&gt;"",Input!$D18=""),IF(ISERROR(Input!$C60/Input!$D60),"NA",Input!$C60/Input!$D60),"")</f>
        <v/>
      </c>
      <c r="C43" s="63" t="str">
        <f>IF(ISERROR(Input!$C81/Input!$D81),"",Input!$C81/Input!$D81)</f>
        <v/>
      </c>
      <c r="D43" s="64"/>
      <c r="E43" s="63" t="str">
        <f t="array" ref="E43">IF(ISERROR(Input!$C102/Input!$D102),"",Input!$C102/Input!$D102)</f>
        <v/>
      </c>
      <c r="F43" s="65" t="str">
        <f t="array" ref="F43">IF(ISERROR(Input!$C123/Input!$D123),"",Input!$C123/Input!$D123)</f>
        <v/>
      </c>
      <c r="G43" s="69" t="str">
        <f>IF(AND(Input!$B18&lt;&gt;"",Input!$D18=""),IF(ISERROR(Input!$E60/Input!$F60),"NA",Input!$E60/Input!$F60),"")</f>
        <v/>
      </c>
      <c r="H43" s="70" t="str">
        <f>IF(ISERROR(Input!$E81/Input!$F81),"",Input!$E81/Input!$F81)</f>
        <v/>
      </c>
      <c r="I43" s="71"/>
      <c r="J43" s="70" t="str">
        <f>IF(ISERROR(Input!$E102/Input!$F102),"",Input!$E102/Input!$F102)</f>
        <v/>
      </c>
      <c r="K43" s="72" t="str">
        <f>IF(ISERROR(Input!$E123/Input!$F123),"",Input!$E123/Input!$F123)</f>
        <v/>
      </c>
      <c r="L43" s="69" t="str">
        <f>IF(AND(Input!$B18&lt;&gt;"",Input!$D18=""),IF(ISERROR(Input!$G60/Input!$H60),"NA",Input!$G60/Input!$H60),"")</f>
        <v/>
      </c>
      <c r="M43" s="70" t="str">
        <f>IF(ISERROR(Input!$G81/Input!$H81),"",Input!$G81/Input!$H81)</f>
        <v/>
      </c>
      <c r="N43" s="71"/>
      <c r="O43" s="70" t="str">
        <f>IF(ISERROR(Input!$G102/Input!$H102),"",Input!$G102/Input!$H102)</f>
        <v/>
      </c>
      <c r="P43" s="72" t="str">
        <f>IF(ISERROR(Input!$G123/Input!$H123),"",Input!$G123/Input!$H123)</f>
        <v/>
      </c>
      <c r="Q43" s="69" t="str">
        <f>IF(AND(Input!$B18&lt;&gt;"",Input!$D18=""),IF(ISERROR(Input!IE60/Input!$J60),"NA",Input!$I60/Input!$J60),"")</f>
        <v/>
      </c>
      <c r="R43" s="70" t="str">
        <f>IF(ISERROR(Input!$I81/Input!$J81),"",Input!$I81/Input!$J81)</f>
        <v/>
      </c>
      <c r="S43" s="71"/>
      <c r="T43" s="70" t="str">
        <f>IF(ISERROR(Input!$I102/Input!$J102),"",Input!$I102/Input!$J102)</f>
        <v/>
      </c>
      <c r="U43" s="72" t="str">
        <f>IF(ISERROR(Input!$I123/Input!$J123),"",Input!$I123/Input!$J123)</f>
        <v/>
      </c>
      <c r="V43" s="69" t="str">
        <f>IF(AND(Input!$B18&lt;&gt;"",Input!$D18=""),IF(ISERROR(Input!II60/Input!$L60),"NA",Input!$K60/Input!$L60),"")</f>
        <v/>
      </c>
      <c r="W43" s="70" t="str">
        <f>IF(ISERROR(Input!$K81/Input!$L81),"",Input!$K81/Input!$L81)</f>
        <v/>
      </c>
      <c r="X43" s="71"/>
      <c r="Y43" s="70" t="str">
        <f>IF(ISERROR(Input!$K102/Input!$L102),"",Input!$K102/Input!$L102)</f>
        <v/>
      </c>
      <c r="Z43" s="72" t="str">
        <f>IF(ISERROR(Input!$K123/Input!$L123),"",Input!$K123/Input!$L123)</f>
        <v/>
      </c>
    </row>
    <row r="44" spans="1:26">
      <c r="A44" s="6" t="str">
        <f>IF(AND(Input!D19="",Input!B19&lt;&gt;""),Input!B19,"")</f>
        <v/>
      </c>
      <c r="B44" s="62" t="str">
        <f>IF(AND(Input!$B19&lt;&gt;"",Input!$D19=""),IF(ISERROR(Input!$C61/Input!$D61),"NA",Input!$C61/Input!$D61),"")</f>
        <v/>
      </c>
      <c r="C44" s="63" t="str">
        <f>IF(ISERROR(Input!$C82/Input!$D82),"",Input!$C82/Input!$D82)</f>
        <v/>
      </c>
      <c r="D44" s="64"/>
      <c r="E44" s="63" t="str">
        <f t="array" ref="E44">IF(ISERROR(Input!$C103/Input!$D103),"",Input!$C103/Input!$D103)</f>
        <v/>
      </c>
      <c r="F44" s="65" t="str">
        <f t="array" ref="F44">IF(ISERROR(Input!$C124/Input!$D124),"",Input!$C124/Input!$D124)</f>
        <v/>
      </c>
      <c r="G44" s="69" t="str">
        <f>IF(AND(Input!$B19&lt;&gt;"",Input!$D19=""),IF(ISERROR(Input!$E61/Input!$F61),"NA",Input!$E61/Input!$F61),"")</f>
        <v/>
      </c>
      <c r="H44" s="70" t="str">
        <f>IF(ISERROR(Input!$E82/Input!$F82),"",Input!$E82/Input!$F82)</f>
        <v/>
      </c>
      <c r="I44" s="71"/>
      <c r="J44" s="70" t="str">
        <f>IF(ISERROR(Input!$E103/Input!$F103),"",Input!$E103/Input!$F103)</f>
        <v/>
      </c>
      <c r="K44" s="72" t="str">
        <f>IF(ISERROR(Input!$E124/Input!$F124),"",Input!$E124/Input!$F124)</f>
        <v/>
      </c>
      <c r="L44" s="69" t="str">
        <f>IF(AND(Input!$B19&lt;&gt;"",Input!$D19=""),IF(ISERROR(Input!$G61/Input!$H61),"NA",Input!$G61/Input!$H61),"")</f>
        <v/>
      </c>
      <c r="M44" s="70" t="str">
        <f>IF(ISERROR(Input!$G82/Input!$H82),"",Input!$G82/Input!$H82)</f>
        <v/>
      </c>
      <c r="N44" s="71"/>
      <c r="O44" s="70" t="str">
        <f>IF(ISERROR(Input!$G103/Input!$H103),"",Input!$G103/Input!$H103)</f>
        <v/>
      </c>
      <c r="P44" s="72" t="str">
        <f>IF(ISERROR(Input!$G124/Input!$H124),"",Input!$G124/Input!$H124)</f>
        <v/>
      </c>
      <c r="Q44" s="69" t="str">
        <f>IF(AND(Input!$B19&lt;&gt;"",Input!$D19=""),IF(ISERROR(Input!IE61/Input!$J61),"NA",Input!$I61/Input!$J61),"")</f>
        <v/>
      </c>
      <c r="R44" s="70" t="str">
        <f>IF(ISERROR(Input!$I82/Input!$J82),"",Input!$I82/Input!$J82)</f>
        <v/>
      </c>
      <c r="S44" s="71"/>
      <c r="T44" s="70" t="str">
        <f>IF(ISERROR(Input!$I103/Input!$J103),"",Input!$I103/Input!$J103)</f>
        <v/>
      </c>
      <c r="U44" s="72" t="str">
        <f>IF(ISERROR(Input!$I124/Input!$J124),"",Input!$I124/Input!$J124)</f>
        <v/>
      </c>
      <c r="V44" s="69" t="str">
        <f>IF(AND(Input!$B19&lt;&gt;"",Input!$D19=""),IF(ISERROR(Input!II61/Input!$L61),"NA",Input!$K61/Input!$L61),"")</f>
        <v/>
      </c>
      <c r="W44" s="70" t="str">
        <f>IF(ISERROR(Input!$K82/Input!$L82),"",Input!$K82/Input!$L82)</f>
        <v/>
      </c>
      <c r="X44" s="71"/>
      <c r="Y44" s="70" t="str">
        <f>IF(ISERROR(Input!$K103/Input!$L103),"",Input!$K103/Input!$L103)</f>
        <v/>
      </c>
      <c r="Z44" s="72" t="str">
        <f>IF(ISERROR(Input!$K124/Input!$L124),"",Input!$K124/Input!$L124)</f>
        <v/>
      </c>
    </row>
    <row r="45" spans="1:26">
      <c r="A45" s="6" t="str">
        <f>IF(AND(Input!D20="",Input!B20&lt;&gt;""),Input!B20,"")</f>
        <v/>
      </c>
      <c r="B45" s="62" t="str">
        <f>IF(AND(Input!$B20&lt;&gt;"",Input!$D20=""),IF(ISERROR(Input!$C62/Input!$D62),"NA",Input!$C62/Input!$D62),"")</f>
        <v/>
      </c>
      <c r="C45" s="63" t="str">
        <f>IF(ISERROR(Input!$C83/Input!$D83),"",Input!$C83/Input!$D83)</f>
        <v/>
      </c>
      <c r="D45" s="64"/>
      <c r="E45" s="63" t="str">
        <f t="array" ref="E45">IF(ISERROR(Input!$C104/Input!$D104),"",Input!$C104/Input!$D104)</f>
        <v/>
      </c>
      <c r="F45" s="65" t="str">
        <f t="array" ref="F45">IF(ISERROR(Input!$C125/Input!$D125),"",Input!$C125/Input!$D125)</f>
        <v/>
      </c>
      <c r="G45" s="69" t="str">
        <f>IF(AND(Input!$B20&lt;&gt;"",Input!$D20=""),IF(ISERROR(Input!$E62/Input!$F62),"NA",Input!$E62/Input!$F62),"")</f>
        <v/>
      </c>
      <c r="H45" s="70" t="str">
        <f>IF(ISERROR(Input!$E83/Input!$F83),"",Input!$E83/Input!$F83)</f>
        <v/>
      </c>
      <c r="I45" s="71"/>
      <c r="J45" s="70" t="str">
        <f>IF(ISERROR(Input!$E104/Input!$F104),"",Input!$E104/Input!$F104)</f>
        <v/>
      </c>
      <c r="K45" s="72" t="str">
        <f>IF(ISERROR(Input!$E125/Input!$F125),"",Input!$E125/Input!$F125)</f>
        <v/>
      </c>
      <c r="L45" s="69" t="str">
        <f>IF(AND(Input!$B20&lt;&gt;"",Input!$D20=""),IF(ISERROR(Input!$G62/Input!$H62),"NA",Input!$G62/Input!$H62),"")</f>
        <v/>
      </c>
      <c r="M45" s="70" t="str">
        <f>IF(ISERROR(Input!$G83/Input!$H83),"",Input!$G83/Input!$H83)</f>
        <v/>
      </c>
      <c r="N45" s="71"/>
      <c r="O45" s="70" t="str">
        <f>IF(ISERROR(Input!$G104/Input!$H104),"",Input!$G104/Input!$H104)</f>
        <v/>
      </c>
      <c r="P45" s="72" t="str">
        <f>IF(ISERROR(Input!$G125/Input!$H125),"",Input!$G125/Input!$H125)</f>
        <v/>
      </c>
      <c r="Q45" s="69" t="str">
        <f>IF(AND(Input!$B20&lt;&gt;"",Input!$D20=""),IF(ISERROR(Input!IE62/Input!$J62),"NA",Input!$I62/Input!$J62),"")</f>
        <v/>
      </c>
      <c r="R45" s="70" t="str">
        <f>IF(ISERROR(Input!$I83/Input!$J83),"",Input!$I83/Input!$J83)</f>
        <v/>
      </c>
      <c r="S45" s="71"/>
      <c r="T45" s="70" t="str">
        <f>IF(ISERROR(Input!$I104/Input!$J104),"",Input!$I104/Input!$J104)</f>
        <v/>
      </c>
      <c r="U45" s="72" t="str">
        <f>IF(ISERROR(Input!$I125/Input!$J125),"",Input!$I125/Input!$J125)</f>
        <v/>
      </c>
      <c r="V45" s="69" t="str">
        <f>IF(AND(Input!$B20&lt;&gt;"",Input!$D20=""),IF(ISERROR(Input!II62/Input!$L62),"NA",Input!$K62/Input!$L62),"")</f>
        <v/>
      </c>
      <c r="W45" s="70" t="str">
        <f>IF(ISERROR(Input!$K83/Input!$L83),"",Input!$K83/Input!$L83)</f>
        <v/>
      </c>
      <c r="X45" s="71"/>
      <c r="Y45" s="70" t="str">
        <f>IF(ISERROR(Input!$K104/Input!$L104),"",Input!$K104/Input!$L104)</f>
        <v/>
      </c>
      <c r="Z45" s="72" t="str">
        <f>IF(ISERROR(Input!$K125/Input!$L125),"",Input!$K125/Input!$L125)</f>
        <v/>
      </c>
    </row>
    <row r="46" spans="1:26">
      <c r="A46" s="6" t="str">
        <f>IF(AND(Input!D21="",Input!B21&lt;&gt;""),Input!B21,"")</f>
        <v/>
      </c>
      <c r="B46" s="62" t="str">
        <f>IF(AND(Input!$B21&lt;&gt;"",Input!$D21=""),IF(ISERROR(Input!$C63/Input!$D63),"NA",Input!$C63/Input!$D63),"")</f>
        <v/>
      </c>
      <c r="C46" s="63" t="str">
        <f>IF(ISERROR(Input!$C84/Input!$D84),"",Input!$C84/Input!$D84)</f>
        <v/>
      </c>
      <c r="D46" s="64"/>
      <c r="E46" s="63" t="str">
        <f t="array" ref="E46">IF(ISERROR(Input!$C105/Input!$D105),"",Input!$C105/Input!$D105)</f>
        <v/>
      </c>
      <c r="F46" s="65" t="str">
        <f t="array" ref="F46">IF(ISERROR(Input!$C126/Input!$D126),"",Input!$C126/Input!$D126)</f>
        <v/>
      </c>
      <c r="G46" s="69" t="str">
        <f>IF(AND(Input!$B21&lt;&gt;"",Input!$D21=""),IF(ISERROR(Input!$E63/Input!$F63),"NA",Input!$E63/Input!$F63),"")</f>
        <v/>
      </c>
      <c r="H46" s="70" t="str">
        <f>IF(ISERROR(Input!$E84/Input!$F84),"",Input!$E84/Input!$F84)</f>
        <v/>
      </c>
      <c r="I46" s="71"/>
      <c r="J46" s="70" t="str">
        <f>IF(ISERROR(Input!$E105/Input!$F105),"",Input!$E105/Input!$F105)</f>
        <v/>
      </c>
      <c r="K46" s="72" t="str">
        <f>IF(ISERROR(Input!$E126/Input!$F126),"",Input!$E126/Input!$F126)</f>
        <v/>
      </c>
      <c r="L46" s="69" t="str">
        <f>IF(AND(Input!$B21&lt;&gt;"",Input!$D21=""),IF(ISERROR(Input!$G63/Input!$H63),"NA",Input!$G63/Input!$H63),"")</f>
        <v/>
      </c>
      <c r="M46" s="70" t="str">
        <f>IF(ISERROR(Input!$G84/Input!$H84),"",Input!$G84/Input!$H84)</f>
        <v/>
      </c>
      <c r="N46" s="71"/>
      <c r="O46" s="70" t="str">
        <f>IF(ISERROR(Input!$G105/Input!$H105),"",Input!$G105/Input!$H105)</f>
        <v/>
      </c>
      <c r="P46" s="72" t="str">
        <f>IF(ISERROR(Input!$G126/Input!$H126),"",Input!$G126/Input!$H126)</f>
        <v/>
      </c>
      <c r="Q46" s="69" t="str">
        <f>IF(AND(Input!$B21&lt;&gt;"",Input!$D21=""),IF(ISERROR(Input!IE63/Input!$J63),"NA",Input!$I63/Input!$J63),"")</f>
        <v/>
      </c>
      <c r="R46" s="70" t="str">
        <f>IF(ISERROR(Input!$I84/Input!$J84),"",Input!$I84/Input!$J84)</f>
        <v/>
      </c>
      <c r="S46" s="71"/>
      <c r="T46" s="70" t="str">
        <f>IF(ISERROR(Input!$I105/Input!$J105),"",Input!$I105/Input!$J105)</f>
        <v/>
      </c>
      <c r="U46" s="72" t="str">
        <f>IF(ISERROR(Input!$I126/Input!$J126),"",Input!$I126/Input!$J126)</f>
        <v/>
      </c>
      <c r="V46" s="69" t="str">
        <f>IF(AND(Input!$B21&lt;&gt;"",Input!$D21=""),IF(ISERROR(Input!II63/Input!$L63),"NA",Input!$K63/Input!$L63),"")</f>
        <v/>
      </c>
      <c r="W46" s="70" t="str">
        <f>IF(ISERROR(Input!$K84/Input!$L84),"",Input!$K84/Input!$L84)</f>
        <v/>
      </c>
      <c r="X46" s="71"/>
      <c r="Y46" s="70" t="str">
        <f>IF(ISERROR(Input!$K105/Input!$L105),"",Input!$K105/Input!$L105)</f>
        <v/>
      </c>
      <c r="Z46" s="72" t="str">
        <f>IF(ISERROR(Input!$K126/Input!$L126),"",Input!$K126/Input!$L126)</f>
        <v/>
      </c>
    </row>
    <row r="47" spans="1:26">
      <c r="A47" s="6" t="str">
        <f>IF(AND(Input!D22="",Input!B22&lt;&gt;""),Input!B22,"")</f>
        <v/>
      </c>
      <c r="B47" s="62" t="str">
        <f>IF(AND(Input!$B22&lt;&gt;"",Input!$D22=""),IF(ISERROR(Input!$C64/Input!$D64),"NA",Input!$C64/Input!$D64),"")</f>
        <v/>
      </c>
      <c r="C47" s="63" t="str">
        <f>IF(ISERROR(Input!$C85/Input!$D85),"",Input!$C85/Input!$D85)</f>
        <v/>
      </c>
      <c r="D47" s="64"/>
      <c r="E47" s="63" t="str">
        <f t="array" ref="E47">IF(ISERROR(Input!$C106/Input!$D106),"",Input!$C106/Input!$D106)</f>
        <v/>
      </c>
      <c r="F47" s="65" t="str">
        <f t="array" ref="F47">IF(ISERROR(Input!$C127/Input!$D127),"",Input!$C127/Input!$D127)</f>
        <v/>
      </c>
      <c r="G47" s="69" t="str">
        <f>IF(AND(Input!$B22&lt;&gt;"",Input!$D22=""),IF(ISERROR(Input!$E64/Input!$F64),"NA",Input!$E64/Input!$F64),"")</f>
        <v/>
      </c>
      <c r="H47" s="70" t="str">
        <f>IF(ISERROR(Input!$E85/Input!$F85),"",Input!$E85/Input!$F85)</f>
        <v/>
      </c>
      <c r="I47" s="71"/>
      <c r="J47" s="70" t="str">
        <f>IF(ISERROR(Input!$E106/Input!$F106),"",Input!$E106/Input!$F106)</f>
        <v/>
      </c>
      <c r="K47" s="72" t="str">
        <f>IF(ISERROR(Input!$E127/Input!$F127),"",Input!$E127/Input!$F127)</f>
        <v/>
      </c>
      <c r="L47" s="69" t="str">
        <f>IF(AND(Input!$B22&lt;&gt;"",Input!$D22=""),IF(ISERROR(Input!$G64/Input!$H64),"NA",Input!$G64/Input!$H64),"")</f>
        <v/>
      </c>
      <c r="M47" s="70" t="str">
        <f>IF(ISERROR(Input!$G85/Input!$H85),"",Input!$G85/Input!$H85)</f>
        <v/>
      </c>
      <c r="N47" s="71"/>
      <c r="O47" s="70" t="str">
        <f>IF(ISERROR(Input!$G106/Input!$H106),"",Input!$G106/Input!$H106)</f>
        <v/>
      </c>
      <c r="P47" s="72" t="str">
        <f>IF(ISERROR(Input!$G127/Input!$H127),"",Input!$G127/Input!$H127)</f>
        <v/>
      </c>
      <c r="Q47" s="69" t="str">
        <f>IF(AND(Input!$B22&lt;&gt;"",Input!$D22=""),IF(ISERROR(Input!IE64/Input!$J64),"NA",Input!$I64/Input!$J64),"")</f>
        <v/>
      </c>
      <c r="R47" s="70" t="str">
        <f>IF(ISERROR(Input!$I85/Input!$J85),"",Input!$I85/Input!$J85)</f>
        <v/>
      </c>
      <c r="S47" s="71"/>
      <c r="T47" s="70" t="str">
        <f>IF(ISERROR(Input!$I106/Input!$J106),"",Input!$I106/Input!$J106)</f>
        <v/>
      </c>
      <c r="U47" s="72" t="str">
        <f>IF(ISERROR(Input!$I127/Input!$J127),"",Input!$I127/Input!$J127)</f>
        <v/>
      </c>
      <c r="V47" s="69" t="str">
        <f>IF(AND(Input!$B22&lt;&gt;"",Input!$D22=""),IF(ISERROR(Input!II64/Input!$L64),"NA",Input!$K64/Input!$L64),"")</f>
        <v/>
      </c>
      <c r="W47" s="70" t="str">
        <f>IF(ISERROR(Input!$K85/Input!$L85),"",Input!$K85/Input!$L85)</f>
        <v/>
      </c>
      <c r="X47" s="71"/>
      <c r="Y47" s="70" t="str">
        <f>IF(ISERROR(Input!$K106/Input!$L106),"",Input!$K106/Input!$L106)</f>
        <v/>
      </c>
      <c r="Z47" s="72" t="str">
        <f>IF(ISERROR(Input!$K127/Input!$L127),"",Input!$K127/Input!$L127)</f>
        <v/>
      </c>
    </row>
    <row r="48" spans="1:26">
      <c r="A48" s="27" t="s">
        <v>65</v>
      </c>
      <c r="B48" s="76">
        <f>COUNTIF(B28:B42,"&lt;"&amp;Board_Attendance_Threshold)</f>
        <v>1</v>
      </c>
      <c r="C48" s="77">
        <f>COUNTIF(C28:C42,"&lt;"&amp;AC_Attendance_Threshold)</f>
        <v>0</v>
      </c>
      <c r="D48" s="196"/>
      <c r="E48" s="77">
        <f>COUNTIF(E28:E42,"&lt;"&amp;RC_Attendance_Threshold)</f>
        <v>0</v>
      </c>
      <c r="F48" s="78">
        <f>COUNTIF(F28:F42,"&lt;"&amp;NC_Attendance_Threshold)</f>
        <v>0</v>
      </c>
      <c r="G48" s="79">
        <f>COUNTIF(G28:G42,"&lt;"&amp;Board_Attendance_Threshold)</f>
        <v>1</v>
      </c>
      <c r="H48" s="80">
        <f>COUNTIF(H28:H42,"&lt;"&amp;AC_Attendance_Threshold)</f>
        <v>0</v>
      </c>
      <c r="I48" s="198"/>
      <c r="J48" s="80">
        <f>COUNTIF(J28:J42,"&lt;"&amp;RC_Attendance_Threshold)</f>
        <v>0</v>
      </c>
      <c r="K48" s="81">
        <f>COUNTIF(K28:K42,"&lt;"&amp;NC_Attendance_Threshold)</f>
        <v>0</v>
      </c>
      <c r="L48" s="79">
        <f>COUNTIF(L28:L42,"&lt;"&amp;Board_Attendance_Threshold)</f>
        <v>0</v>
      </c>
      <c r="M48" s="80">
        <f>COUNTIF(M28:M42,"&lt;"&amp;AC_Attendance_Threshold)</f>
        <v>1</v>
      </c>
      <c r="N48" s="198"/>
      <c r="O48" s="80">
        <f>COUNTIF(O28:O42,"&lt;"&amp;RC_Attendance_Threshold)</f>
        <v>0</v>
      </c>
      <c r="P48" s="81">
        <f>COUNTIF(P28:P42,"&lt;"&amp;NC_Attendance_Threshold)</f>
        <v>0</v>
      </c>
      <c r="Q48" s="79">
        <f>COUNTIF(Q28:Q42,"&lt;"&amp;Board_Attendance_Threshold)</f>
        <v>0</v>
      </c>
      <c r="R48" s="80">
        <f>COUNTIF(R28:R42,"&lt;"&amp;AC_Attendance_Threshold)</f>
        <v>0</v>
      </c>
      <c r="S48" s="198"/>
      <c r="T48" s="80">
        <f>COUNTIF(T28:T42,"&lt;"&amp;RC_Attendance_Threshold)</f>
        <v>0</v>
      </c>
      <c r="U48" s="81">
        <f>COUNTIF(U28:U42,"&lt;"&amp;NC_Attendance_Threshold)</f>
        <v>0</v>
      </c>
      <c r="V48" s="79">
        <f>COUNTIF(V28:V42,"&lt;"&amp;Board_Attendance_Threshold)</f>
        <v>0</v>
      </c>
      <c r="W48" s="80">
        <f>COUNTIF(W28:W42,"&lt;"&amp;AC_Attendance_Threshold)</f>
        <v>0</v>
      </c>
      <c r="X48" s="198"/>
      <c r="Y48" s="80">
        <f>COUNTIF(Y28:Y42,"&lt;"&amp;RC_Attendance_Threshold)</f>
        <v>0</v>
      </c>
      <c r="Z48" s="81">
        <f>COUNTIF(Z28:Z42,"&lt;"&amp;NC_Attendance_Threshold)</f>
        <v>0</v>
      </c>
    </row>
    <row r="49" spans="1:26">
      <c r="A49" s="27" t="s">
        <v>64</v>
      </c>
      <c r="B49" s="66">
        <f t="array" aca="1" ref="B49" ca="1">IF(Total_Directors&lt;&gt;0,SUM(OFFSET(Input!$C$45,0,0,Total_Directors,1))/SUM(OFFSET(Input!$D$45,0,0,Total_Directors,1)),"NA")</f>
        <v>0.88888888888888884</v>
      </c>
      <c r="C49" s="67">
        <f ca="1">IF(Output!$C$6&lt;&gt;0,SUM(OFFSET(Input!$C$66,0,0,Total_Directors,1))/SUM(OFFSET(Input!$D$66,0,0,Total_Directors,1)),"NA")</f>
        <v>0.9375</v>
      </c>
      <c r="D49" s="197"/>
      <c r="E49" s="67">
        <f ca="1">IF(Output!$C$8&lt;&gt;0,SUM(OFFSET(Input!$C$87,0,0,Total_Directors,1))/SUM(OFFSET(Input!$D$87,0,0,Total_Directors,1)),"NA")</f>
        <v>1</v>
      </c>
      <c r="F49" s="68" t="str">
        <f ca="1">IF(Output!$C$9&lt;&gt;0,SUM(OFFSET(Input!$C$108,0,0,Total_Directors,1))/SUM(OFFSET(Input!$D$108,0,0,Total_Directors,1)),"NA")</f>
        <v>NA</v>
      </c>
      <c r="G49" s="73">
        <f ca="1">IF(Total_Directors&lt;&gt;0,SUM(OFFSET(Input!$E$45,0,0,Total_Directors,1))/SUM(OFFSET(Input!$F$45,0,0,Total_Directors,1)),"NA")</f>
        <v>0.91111111111111109</v>
      </c>
      <c r="H49" s="74">
        <f ca="1">IF(Output!$C$6&lt;&gt;0,SUM(OFFSET(Input!$E$66,0,0,Total_Directors,1))/SUM(OFFSET(Input!$F$66,0,0,Total_Directors,1)),"NA")</f>
        <v>0.95</v>
      </c>
      <c r="I49" s="199"/>
      <c r="J49" s="74">
        <f ca="1">IF(Output!$C$8&lt;&gt;0,SUM(OFFSET(Input!$E$87,0,0,Total_Directors,1))/SUM(OFFSET(Input!$F$87,0,0,Total_Directors,1)),"NA")</f>
        <v>1</v>
      </c>
      <c r="K49" s="75" t="str">
        <f ca="1">IF(Output!$C$9&lt;&gt;0,SUM(OFFSET(Input!$E$108,0,0,Total_Directors,1))/SUM(OFFSET(Input!$F$108,0,0,Total_Directors,1)),"NA")</f>
        <v>NA</v>
      </c>
      <c r="L49" s="73">
        <f ca="1">IF(Total_Directors&lt;&gt;0,SUM(OFFSET(Input!$G$45,0,0,Total_Directors,1))/SUM(OFFSET(Input!$H$45,0,0,Total_Directors,1)),"NA")</f>
        <v>0.97222222222222221</v>
      </c>
      <c r="M49" s="74">
        <f ca="1">IF(Output!$C$6&lt;&gt;0,SUM(OFFSET(Input!$G$66,0,0,Total_Directors,1))/SUM(OFFSET(Input!$H$66,0,0,Total_Directors,1)),"NA")</f>
        <v>0.9</v>
      </c>
      <c r="N49" s="199"/>
      <c r="O49" s="74">
        <f ca="1">IF(Output!$C$8&lt;&gt;0,SUM(OFFSET(Input!$G$87,0,0,Total_Directors,1))/SUM(OFFSET(Input!$H$87,0,0,Total_Directors,1)),"NA")</f>
        <v>1</v>
      </c>
      <c r="P49" s="75" t="str">
        <f ca="1">IF(Output!$C$9&lt;&gt;0,SUM(OFFSET(Input!$G$108,0,0,Total_Directors,1))/SUM(OFFSET(Input!$H$108,0,0,Total_Directors,1)),"NA")</f>
        <v>NA</v>
      </c>
      <c r="Q49" s="73" t="e">
        <f ca="1">IF(Total_Directors&lt;&gt;0,SUM(OFFSET(Input!$I$45,0,0,Total_Directors,1))/SUM(OFFSET(Input!$J$45,0,0,Total_Directors,1)),"NA")</f>
        <v>#DIV/0!</v>
      </c>
      <c r="R49" s="74" t="e">
        <f ca="1">IF(Output!$C$6&lt;&gt;0,SUM(OFFSET(Input!$I$66,0,0,Total_Directors,1))/SUM(OFFSET(Input!$J$66,0,0,Total_Directors,1)),"NA")</f>
        <v>#DIV/0!</v>
      </c>
      <c r="S49" s="199"/>
      <c r="T49" s="74" t="e">
        <f ca="1">IF(Output!$C$8&lt;&gt;0,SUM(OFFSET(Input!$I$87,0,0,Total_Directors,1))/SUM(OFFSET(Input!$J$87,0,0,Total_Directors,1)),"NA")</f>
        <v>#DIV/0!</v>
      </c>
      <c r="U49" s="75" t="str">
        <f ca="1">IF(Output!$C$9&lt;&gt;0,SUM(OFFSET(Input!$I$108,0,0,Total_Directors,1))/SUM(OFFSET(Input!$J$108,0,0,Total_Directors,1)),"NA")</f>
        <v>NA</v>
      </c>
      <c r="V49" s="73" t="e">
        <f ca="1">IF(Total_Directors&lt;&gt;0,SUM(OFFSET(Input!$K$45,0,0,Total_Directors,1))/SUM(OFFSET(Input!$L$45,0,0,Total_Directors,1)),"NA")</f>
        <v>#DIV/0!</v>
      </c>
      <c r="W49" s="74" t="e">
        <f ca="1">IF(Output!$C$6&lt;&gt;0,SUM(OFFSET(Input!$K$66,0,0,Total_Directors,1))/SUM(OFFSET(Input!$L$66,0,0,Total_Directors,1)),"NA")</f>
        <v>#DIV/0!</v>
      </c>
      <c r="X49" s="199"/>
      <c r="Y49" s="74" t="e">
        <f ca="1">IF(Output!$C$8&lt;&gt;0,SUM(OFFSET(Input!$K$87,0,0,Total_Directors,1))/SUM(OFFSET(Input!$L$87,0,0,Total_Directors,1)),"NA")</f>
        <v>#DIV/0!</v>
      </c>
      <c r="Z49" s="75" t="str">
        <f ca="1">IF(Output!$C$9&lt;&gt;0,SUM(OFFSET(Input!$K$108,0,0,Total_Directors,1))/SUM(OFFSET(Input!$L$108,0,0,Total_Directors,1)),"NA")</f>
        <v>NA</v>
      </c>
    </row>
    <row r="50" spans="1:26">
      <c r="A50" s="21"/>
      <c r="B50" s="22"/>
      <c r="C50" s="22"/>
      <c r="D50" s="19"/>
      <c r="E50" s="22"/>
      <c r="F50" s="22"/>
    </row>
    <row r="51" spans="1:26">
      <c r="A51" s="20" t="s">
        <v>67</v>
      </c>
    </row>
    <row r="52" spans="1:26" s="30" customFormat="1" ht="24">
      <c r="A52" s="58"/>
      <c r="B52" s="36" t="s">
        <v>0</v>
      </c>
      <c r="C52" s="36" t="s">
        <v>49</v>
      </c>
      <c r="D52" s="36" t="str">
        <f>Input!N2</f>
        <v>ESOPs</v>
      </c>
      <c r="E52" s="36" t="str">
        <f>Input!O2</f>
        <v>Other Pecuniary Relationship</v>
      </c>
      <c r="F52" s="191" t="s">
        <v>130</v>
      </c>
      <c r="G52" s="36" t="s">
        <v>70</v>
      </c>
      <c r="H52" s="36" t="s">
        <v>68</v>
      </c>
      <c r="I52" s="30" t="s">
        <v>1418</v>
      </c>
      <c r="J52" s="30" t="s">
        <v>1421</v>
      </c>
      <c r="K52" s="3"/>
    </row>
    <row r="53" spans="1:26">
      <c r="A53" s="7" t="str">
        <f t="shared" ref="A53:A64" si="0">A28</f>
        <v>Keki M.Mistry</v>
      </c>
      <c r="B53" s="23">
        <f>IF(A53="","",Input!E3)</f>
        <v>14</v>
      </c>
      <c r="C53" s="24">
        <f>IF(ISNUMBER(Input!M3),Input!M3*Share_Price,"")</f>
        <v>6757870</v>
      </c>
      <c r="D53" s="29" t="str">
        <f>Input!N3</f>
        <v>N</v>
      </c>
      <c r="E53" s="29" t="str">
        <f>Input!O3</f>
        <v>N</v>
      </c>
      <c r="F53" s="321">
        <f>IF(Input!M3="ND","-",Input!M3/Input!$C$138)</f>
        <v>4.9487777127055048E-4</v>
      </c>
      <c r="G53" s="25" t="str">
        <f>IF(A53="","",Input!G3)</f>
        <v>NEDP</v>
      </c>
      <c r="H53" s="26" t="str">
        <f t="shared" ref="H53:H72" si="1">IF(A53="","",IF(G53="ID",IF(AND(B53&lt;ID_Tenure_Threshold,F53&lt;Shareholding_Threshold,D53="N",E53="N"),"ID","NED"),G53))</f>
        <v>NEDP</v>
      </c>
      <c r="I53" s="25" t="str">
        <f>IF(A53="","",Input!H3)</f>
        <v>CMD</v>
      </c>
      <c r="J53" s="456" t="e">
        <f>C53*Template_P1!$C$3</f>
        <v>#VALUE!</v>
      </c>
      <c r="K53" s="3"/>
    </row>
    <row r="54" spans="1:26">
      <c r="A54" s="7" t="str">
        <f t="shared" si="0"/>
        <v>Renu Sud Karnad</v>
      </c>
      <c r="B54" s="23">
        <f>IF(A54="","",Input!E4)</f>
        <v>14</v>
      </c>
      <c r="C54" s="24">
        <f>IF(ISNUMBER(Input!M4),Input!M4*Share_Price,"")</f>
        <v>7962269</v>
      </c>
      <c r="D54" s="29" t="str">
        <f>Input!N4</f>
        <v>N</v>
      </c>
      <c r="E54" s="29" t="str">
        <f>Input!O4</f>
        <v>N</v>
      </c>
      <c r="F54" s="321">
        <f>IF(Input!M4="ND","-",Input!M4/Input!$C$138)</f>
        <v>5.8307572311639539E-4</v>
      </c>
      <c r="G54" s="25" t="str">
        <f>IF(A54="","",Input!G4)</f>
        <v>NEDP</v>
      </c>
      <c r="H54" s="26" t="str">
        <f t="shared" si="1"/>
        <v>NEDP</v>
      </c>
      <c r="I54" s="25" t="str">
        <f>IF(A54="","",Input!H4)</f>
        <v>M</v>
      </c>
      <c r="J54" s="456" t="e">
        <f>C54*Template_P1!$C$3</f>
        <v>#VALUE!</v>
      </c>
      <c r="K54" s="3"/>
    </row>
    <row r="55" spans="1:26">
      <c r="A55" s="7" t="str">
        <f t="shared" si="0"/>
        <v>S.M Palia</v>
      </c>
      <c r="B55" s="23">
        <f>IF(A55="","",Input!E5)</f>
        <v>21</v>
      </c>
      <c r="C55" s="24">
        <f>IF(ISNUMBER(Input!M5),Input!M5*Share_Price,"")</f>
        <v>4472090</v>
      </c>
      <c r="D55" s="29" t="str">
        <f>Input!N5</f>
        <v>N</v>
      </c>
      <c r="E55" s="29" t="str">
        <f>Input!O5</f>
        <v>N</v>
      </c>
      <c r="F55" s="321">
        <f>IF(Input!M5="ND","-",Input!M5/Input!$C$138)</f>
        <v>3.2749045662632106E-4</v>
      </c>
      <c r="G55" s="25" t="str">
        <f>IF(A55="","",Input!G5)</f>
        <v>ID</v>
      </c>
      <c r="H55" s="26" t="str">
        <f t="shared" si="1"/>
        <v>NED</v>
      </c>
      <c r="I55" s="25" t="str">
        <f>IF(A55="","",Input!H5)</f>
        <v>M</v>
      </c>
      <c r="J55" s="456" t="e">
        <f>C55*Template_P1!$C$3</f>
        <v>#VALUE!</v>
      </c>
      <c r="K55" s="3"/>
    </row>
    <row r="56" spans="1:26">
      <c r="A56" s="7" t="str">
        <f t="shared" si="0"/>
        <v>Rohit C. Mehta</v>
      </c>
      <c r="B56" s="23">
        <f>IF(A56="","",Input!E6)</f>
        <v>27</v>
      </c>
      <c r="C56" s="24">
        <f>IF(ISNUMBER(Input!M6),Input!M6*Share_Price,"")</f>
        <v>6699000000</v>
      </c>
      <c r="D56" s="29" t="str">
        <f>Input!N6</f>
        <v>N</v>
      </c>
      <c r="E56" s="29" t="str">
        <f>Input!O6</f>
        <v>N</v>
      </c>
      <c r="F56" s="321">
        <f>IF(Input!M6="ND","-",Input!M6/Input!$C$138)</f>
        <v>0.4905667303072444</v>
      </c>
      <c r="G56" s="25" t="str">
        <f>IF(A56="","",Input!G6)</f>
        <v>ID</v>
      </c>
      <c r="H56" s="26" t="str">
        <f t="shared" si="1"/>
        <v>NED</v>
      </c>
      <c r="I56" s="25" t="str">
        <f>IF(A56="","",Input!H6)</f>
        <v>M</v>
      </c>
      <c r="J56" s="456" t="e">
        <f>C56*Template_P1!$C$3</f>
        <v>#VALUE!</v>
      </c>
      <c r="K56" s="3"/>
    </row>
    <row r="57" spans="1:26">
      <c r="A57" s="7" t="str">
        <f t="shared" si="0"/>
        <v>Prafull Anubhai</v>
      </c>
      <c r="B57" s="23">
        <f>IF(A57="","",Input!E7)</f>
        <v>27</v>
      </c>
      <c r="C57" s="24">
        <f>IF(ISNUMBER(Input!M7),Input!M7*Share_Price,"")</f>
        <v>1481900</v>
      </c>
      <c r="D57" s="29" t="str">
        <f>Input!N7</f>
        <v>N</v>
      </c>
      <c r="E57" s="29" t="str">
        <f>Input!O7</f>
        <v>N</v>
      </c>
      <c r="F57" s="321">
        <f>IF(Input!M7="ND","-",Input!M7/Input!$C$138)</f>
        <v>1.0851930700736012E-4</v>
      </c>
      <c r="G57" s="25" t="str">
        <f>IF(A57="","",Input!G7)</f>
        <v>ID</v>
      </c>
      <c r="H57" s="26" t="str">
        <f t="shared" si="1"/>
        <v>NED</v>
      </c>
      <c r="I57" s="25" t="str">
        <f>IF(A57="","",Input!H7)</f>
        <v>M</v>
      </c>
      <c r="J57" s="456" t="e">
        <f>C57*Template_P1!$C$3</f>
        <v>#VALUE!</v>
      </c>
      <c r="K57" s="3"/>
    </row>
    <row r="58" spans="1:26">
      <c r="A58" s="7" t="str">
        <f t="shared" si="0"/>
        <v>K.G Krishnamurty</v>
      </c>
      <c r="B58" s="23">
        <f>IF(A58="","",Input!E8)</f>
        <v>10</v>
      </c>
      <c r="C58" s="24">
        <f>IF(ISNUMBER(Input!M8),Input!M8*Share_Price,"")</f>
        <v>7938315</v>
      </c>
      <c r="D58" s="29" t="str">
        <f>Input!N8</f>
        <v>N</v>
      </c>
      <c r="E58" s="29" t="str">
        <f>Input!O8</f>
        <v>N</v>
      </c>
      <c r="F58" s="321">
        <f>IF(Input!M8="ND","-",Input!M8/Input!$C$138)</f>
        <v>5.8132157541408464E-4</v>
      </c>
      <c r="G58" s="25" t="str">
        <f>IF(A58="","",Input!G8)</f>
        <v>ID</v>
      </c>
      <c r="H58" s="26" t="str">
        <f t="shared" si="1"/>
        <v>ID</v>
      </c>
      <c r="I58" s="25" t="str">
        <f>IF(A58="","",Input!H8)</f>
        <v>M</v>
      </c>
      <c r="J58" s="456" t="e">
        <f>C58*Template_P1!$C$3</f>
        <v>#VALUE!</v>
      </c>
      <c r="K58" s="3"/>
    </row>
    <row r="59" spans="1:26">
      <c r="A59" s="7" t="str">
        <f t="shared" si="0"/>
        <v>S.G Mankad</v>
      </c>
      <c r="B59" s="23">
        <f>IF(A59="","",Input!E9)</f>
        <v>4</v>
      </c>
      <c r="C59" s="24">
        <f>IF(ISNUMBER(Input!M9),Input!M9*Share_Price,"")</f>
        <v>2639000</v>
      </c>
      <c r="D59" s="29" t="str">
        <f>Input!N9</f>
        <v>N</v>
      </c>
      <c r="E59" s="29" t="str">
        <f>Input!O9</f>
        <v>N</v>
      </c>
      <c r="F59" s="321">
        <f>IF(Input!M9="ND","-",Input!M9/Input!$C$138)</f>
        <v>1.9325356042406599E-4</v>
      </c>
      <c r="G59" s="25" t="str">
        <f>IF(A59="","",Input!G9)</f>
        <v>ID</v>
      </c>
      <c r="H59" s="26" t="str">
        <f t="shared" si="1"/>
        <v>ID</v>
      </c>
      <c r="I59" s="25" t="str">
        <f>IF(A59="","",Input!H9)</f>
        <v>M</v>
      </c>
      <c r="J59" s="456" t="e">
        <f>C59*Template_P1!$C$3</f>
        <v>#VALUE!</v>
      </c>
      <c r="K59" s="3"/>
    </row>
    <row r="60" spans="1:26">
      <c r="A60" s="7" t="str">
        <f t="shared" si="0"/>
        <v>Kamlesh Shah</v>
      </c>
      <c r="B60" s="23">
        <f>IF(A60="","",Input!E10)</f>
        <v>4</v>
      </c>
      <c r="C60" s="24">
        <f>IF(ISNUMBER(Input!M10),Input!M10*Share_Price,"")</f>
        <v>6007703.7999999998</v>
      </c>
      <c r="D60" s="29" t="str">
        <f>Input!N10</f>
        <v>N</v>
      </c>
      <c r="E60" s="29" t="str">
        <f>Input!O10</f>
        <v>N</v>
      </c>
      <c r="F60" s="321">
        <f>IF(Input!M10="ND","-",Input!M10/Input!$C$138)</f>
        <v>4.3994321687123564E-4</v>
      </c>
      <c r="G60" s="25" t="str">
        <f>IF(A60="","",Input!G10)</f>
        <v>ED</v>
      </c>
      <c r="H60" s="26" t="str">
        <f t="shared" si="1"/>
        <v>ED</v>
      </c>
      <c r="I60" s="25" t="str">
        <f>IF(A60="","",Input!H10)</f>
        <v>M</v>
      </c>
      <c r="J60" s="456" t="e">
        <f>C60*Template_P1!$C$3</f>
        <v>#VALUE!</v>
      </c>
      <c r="K60" s="3"/>
    </row>
    <row r="61" spans="1:26">
      <c r="A61" s="7" t="str">
        <f t="shared" si="0"/>
        <v>Sudhin Choksey</v>
      </c>
      <c r="B61" s="23">
        <f>IF(A61="","",Input!E11)</f>
        <v>21</v>
      </c>
      <c r="C61" s="24">
        <f>IF(ISNUMBER(Input!M11),Input!M11*Share_Price,"")</f>
        <v>11443637.800000001</v>
      </c>
      <c r="D61" s="29" t="str">
        <f>Input!N11</f>
        <v>N</v>
      </c>
      <c r="E61" s="29" t="str">
        <f>Input!O11</f>
        <v>N</v>
      </c>
      <c r="F61" s="321">
        <f>IF(Input!M11="ND","-",Input!M11/Input!$C$138)</f>
        <v>8.3801582002782321E-4</v>
      </c>
      <c r="G61" s="25" t="str">
        <f>IF(A61="","",Input!G11)</f>
        <v>ED</v>
      </c>
      <c r="H61" s="26" t="str">
        <f t="shared" si="1"/>
        <v>ED</v>
      </c>
      <c r="I61" s="25" t="str">
        <f>IF(A61="","",Input!H11)</f>
        <v>MD</v>
      </c>
      <c r="J61" s="456" t="e">
        <f>C61*Template_P1!$C$3</f>
        <v>#VALUE!</v>
      </c>
      <c r="K61" s="3"/>
    </row>
    <row r="62" spans="1:26">
      <c r="A62" s="7" t="str">
        <f t="shared" si="0"/>
        <v/>
      </c>
      <c r="B62" s="23" t="str">
        <f>IF(A62="","",Input!E12)</f>
        <v/>
      </c>
      <c r="C62" s="24" t="str">
        <f>IF(ISNUMBER(Input!M12),Input!M12*Share_Price,"")</f>
        <v/>
      </c>
      <c r="D62" s="29">
        <f>Input!N12</f>
        <v>0</v>
      </c>
      <c r="E62" s="29" t="str">
        <f>Input!O12</f>
        <v>N</v>
      </c>
      <c r="F62" s="321">
        <f>IF(Input!M12="ND","-",Input!M12/Input!$C$138)</f>
        <v>0</v>
      </c>
      <c r="G62" s="25" t="str">
        <f>IF(A62="","",Input!G12)</f>
        <v/>
      </c>
      <c r="H62" s="26" t="str">
        <f t="shared" si="1"/>
        <v/>
      </c>
      <c r="I62" s="25" t="str">
        <f>IF(A62="","",Input!H12)</f>
        <v/>
      </c>
      <c r="J62" s="456" t="e">
        <f>C62*Template_P1!$C$3</f>
        <v>#VALUE!</v>
      </c>
      <c r="K62" s="3"/>
    </row>
    <row r="63" spans="1:26">
      <c r="A63" s="7" t="str">
        <f t="shared" si="0"/>
        <v/>
      </c>
      <c r="B63" s="23" t="str">
        <f>IF(A63="","",Input!E13)</f>
        <v/>
      </c>
      <c r="C63" s="24" t="str">
        <f>IF(ISNUMBER(Input!M13),Input!M13*Share_Price,"")</f>
        <v/>
      </c>
      <c r="D63" s="29">
        <f>Input!N13</f>
        <v>0</v>
      </c>
      <c r="E63" s="29" t="str">
        <f>Input!O13</f>
        <v>N</v>
      </c>
      <c r="F63" s="321">
        <f>IF(Input!M13="ND","-",Input!M13/Input!$C$138)</f>
        <v>0</v>
      </c>
      <c r="G63" s="25" t="str">
        <f>IF(A63="","",Input!G13)</f>
        <v/>
      </c>
      <c r="H63" s="26" t="str">
        <f t="shared" si="1"/>
        <v/>
      </c>
      <c r="I63" s="25" t="str">
        <f>IF(A63="","",Input!H13)</f>
        <v/>
      </c>
      <c r="J63" s="456" t="e">
        <f>C63*Template_P1!$C$3</f>
        <v>#VALUE!</v>
      </c>
      <c r="K63" s="3"/>
    </row>
    <row r="64" spans="1:26">
      <c r="A64" s="7" t="str">
        <f t="shared" si="0"/>
        <v/>
      </c>
      <c r="B64" s="23" t="str">
        <f>IF(A64="","",Input!E14)</f>
        <v/>
      </c>
      <c r="C64" s="24" t="str">
        <f>IF(ISNUMBER(Input!M14),Input!M14*Share_Price,"")</f>
        <v/>
      </c>
      <c r="D64" s="29">
        <f>Input!N14</f>
        <v>0</v>
      </c>
      <c r="E64" s="29" t="str">
        <f>Input!O14</f>
        <v>N</v>
      </c>
      <c r="F64" s="321">
        <f>IF(Input!M14="ND","-",Input!M14/Input!$C$138)</f>
        <v>0</v>
      </c>
      <c r="G64" s="25" t="str">
        <f>IF(A64="","",Input!G14)</f>
        <v/>
      </c>
      <c r="H64" s="26" t="str">
        <f t="shared" si="1"/>
        <v/>
      </c>
      <c r="I64" s="25" t="str">
        <f>IF(A64="","",Input!H14)</f>
        <v/>
      </c>
      <c r="J64" s="456" t="e">
        <f>C64*Template_P1!$C$3</f>
        <v>#VALUE!</v>
      </c>
      <c r="K64" s="3"/>
    </row>
    <row r="65" spans="1:12">
      <c r="A65" s="7" t="str">
        <f t="shared" ref="A65:A72" si="2">A40</f>
        <v/>
      </c>
      <c r="B65" s="23" t="str">
        <f>IF(A65="","",Input!E15)</f>
        <v/>
      </c>
      <c r="C65" s="24" t="str">
        <f>IF(ISNUMBER(Input!M15),Input!M15*Share_Price,"")</f>
        <v/>
      </c>
      <c r="D65" s="29">
        <f>Input!N15</f>
        <v>0</v>
      </c>
      <c r="E65" s="29" t="str">
        <f>Input!O15</f>
        <v>N</v>
      </c>
      <c r="F65" s="321">
        <f>IF(Input!M15="ND","-",Input!M15/Input!$C$138)</f>
        <v>0</v>
      </c>
      <c r="G65" s="25" t="str">
        <f>IF(A65="","",Input!G15)</f>
        <v/>
      </c>
      <c r="H65" s="26" t="str">
        <f t="shared" si="1"/>
        <v/>
      </c>
      <c r="I65" s="25" t="str">
        <f>IF(A65="","",Input!H15)</f>
        <v/>
      </c>
      <c r="J65" s="456" t="e">
        <f>C65*Template_P1!$C$3</f>
        <v>#VALUE!</v>
      </c>
      <c r="K65" s="3"/>
    </row>
    <row r="66" spans="1:12">
      <c r="A66" s="7" t="str">
        <f t="shared" si="2"/>
        <v/>
      </c>
      <c r="B66" s="23" t="str">
        <f>IF(A66="","",Input!E16)</f>
        <v/>
      </c>
      <c r="C66" s="24" t="str">
        <f>IF(ISNUMBER(Input!M16),Input!M16*Share_Price,"")</f>
        <v/>
      </c>
      <c r="D66" s="29">
        <f>Input!N16</f>
        <v>0</v>
      </c>
      <c r="E66" s="29" t="str">
        <f>Input!O16</f>
        <v>N</v>
      </c>
      <c r="F66" s="321">
        <f>IF(Input!M16="ND","-",Input!M16/Input!$C$138)</f>
        <v>0</v>
      </c>
      <c r="G66" s="25" t="str">
        <f>IF(A66="","",Input!G16)</f>
        <v/>
      </c>
      <c r="H66" s="26" t="str">
        <f t="shared" si="1"/>
        <v/>
      </c>
      <c r="I66" s="25" t="str">
        <f>IF(A66="","",Input!H16)</f>
        <v/>
      </c>
      <c r="J66" s="456" t="e">
        <f>C66*Template_P1!$C$3</f>
        <v>#VALUE!</v>
      </c>
      <c r="K66" s="3"/>
    </row>
    <row r="67" spans="1:12">
      <c r="A67" s="7" t="str">
        <f t="shared" si="2"/>
        <v/>
      </c>
      <c r="B67" s="23" t="str">
        <f>IF(A67="","",Input!E17)</f>
        <v/>
      </c>
      <c r="C67" s="24" t="str">
        <f>IF(ISNUMBER(Input!M17),Input!M17*Share_Price,"")</f>
        <v/>
      </c>
      <c r="D67" s="29">
        <f>Input!N17</f>
        <v>0</v>
      </c>
      <c r="E67" s="29" t="str">
        <f>Input!O17</f>
        <v>N</v>
      </c>
      <c r="F67" s="321">
        <f>IF(Input!M17="ND","-",Input!M17/Input!$C$138)</f>
        <v>0</v>
      </c>
      <c r="G67" s="25" t="str">
        <f>IF(A67="","",Input!G17)</f>
        <v/>
      </c>
      <c r="H67" s="26" t="str">
        <f t="shared" si="1"/>
        <v/>
      </c>
      <c r="I67" s="25" t="str">
        <f>IF(A67="","",Input!H17)</f>
        <v/>
      </c>
      <c r="J67" s="456" t="e">
        <f>C67*Template_P1!$C$3</f>
        <v>#VALUE!</v>
      </c>
      <c r="K67" s="3"/>
    </row>
    <row r="68" spans="1:12">
      <c r="A68" s="7" t="str">
        <f t="shared" si="2"/>
        <v/>
      </c>
      <c r="B68" s="23" t="str">
        <f>IF(A68="","",Input!E18)</f>
        <v/>
      </c>
      <c r="C68" s="24" t="str">
        <f>IF(ISNUMBER(Input!M18),Input!M18*Share_Price,"")</f>
        <v/>
      </c>
      <c r="D68" s="29">
        <f>Input!N18</f>
        <v>0</v>
      </c>
      <c r="E68" s="29" t="str">
        <f>Input!O18</f>
        <v>N</v>
      </c>
      <c r="F68" s="321">
        <f>IF(Input!M18="ND","-",Input!M18/Input!$C$138)</f>
        <v>0</v>
      </c>
      <c r="G68" s="25" t="str">
        <f>IF(A68="","",Input!G18)</f>
        <v/>
      </c>
      <c r="H68" s="26" t="str">
        <f t="shared" si="1"/>
        <v/>
      </c>
      <c r="I68" s="25" t="str">
        <f>IF(A68="","",Input!H18)</f>
        <v/>
      </c>
      <c r="J68" s="456" t="e">
        <f>C68*Template_P1!$C$3</f>
        <v>#VALUE!</v>
      </c>
      <c r="K68" s="3"/>
    </row>
    <row r="69" spans="1:12">
      <c r="A69" s="7" t="str">
        <f t="shared" si="2"/>
        <v/>
      </c>
      <c r="B69" s="23" t="str">
        <f>IF(A69="","",Input!E19)</f>
        <v/>
      </c>
      <c r="C69" s="24" t="str">
        <f>IF(ISNUMBER(Input!M19),Input!M19*Share_Price,"")</f>
        <v/>
      </c>
      <c r="D69" s="29">
        <f>Input!N19</f>
        <v>0</v>
      </c>
      <c r="E69" s="29" t="str">
        <f>Input!O19</f>
        <v>N</v>
      </c>
      <c r="F69" s="321">
        <f>IF(Input!M19="ND","-",Input!M19/Input!$C$138)</f>
        <v>0</v>
      </c>
      <c r="G69" s="25" t="str">
        <f>IF(A69="","",Input!G19)</f>
        <v/>
      </c>
      <c r="H69" s="26" t="str">
        <f t="shared" si="1"/>
        <v/>
      </c>
      <c r="I69" s="25" t="str">
        <f>IF(A69="","",Input!H19)</f>
        <v/>
      </c>
      <c r="J69" s="456" t="e">
        <f>C69*Template_P1!$C$3</f>
        <v>#VALUE!</v>
      </c>
      <c r="K69" s="3"/>
    </row>
    <row r="70" spans="1:12">
      <c r="A70" s="7" t="str">
        <f t="shared" si="2"/>
        <v/>
      </c>
      <c r="B70" s="23" t="str">
        <f>IF(A70="","",Input!E20)</f>
        <v/>
      </c>
      <c r="C70" s="24" t="str">
        <f>IF(ISNUMBER(Input!M20),Input!M20*Share_Price,"")</f>
        <v/>
      </c>
      <c r="D70" s="29">
        <f>Input!N20</f>
        <v>0</v>
      </c>
      <c r="E70" s="29" t="str">
        <f>Input!O20</f>
        <v>N</v>
      </c>
      <c r="F70" s="321">
        <f>IF(Input!M20="ND","-",Input!M20/Input!$C$138)</f>
        <v>0</v>
      </c>
      <c r="G70" s="25" t="str">
        <f>IF(A70="","",Input!G20)</f>
        <v/>
      </c>
      <c r="H70" s="26" t="str">
        <f t="shared" si="1"/>
        <v/>
      </c>
      <c r="I70" s="25" t="str">
        <f>IF(A70="","",Input!H20)</f>
        <v/>
      </c>
      <c r="J70" s="456" t="e">
        <f>C70*Template_P1!$C$3</f>
        <v>#VALUE!</v>
      </c>
      <c r="K70" s="3"/>
    </row>
    <row r="71" spans="1:12">
      <c r="A71" s="7" t="str">
        <f t="shared" si="2"/>
        <v/>
      </c>
      <c r="B71" s="23" t="str">
        <f>IF(A71="","",Input!E21)</f>
        <v/>
      </c>
      <c r="C71" s="24" t="str">
        <f>IF(ISNUMBER(Input!M21),Input!M21*Share_Price,"")</f>
        <v/>
      </c>
      <c r="D71" s="29">
        <f>Input!N21</f>
        <v>0</v>
      </c>
      <c r="E71" s="29" t="str">
        <f>Input!O21</f>
        <v>N</v>
      </c>
      <c r="F71" s="321">
        <f>IF(Input!M21="ND","-",Input!M21/Input!$C$138)</f>
        <v>0</v>
      </c>
      <c r="G71" s="25" t="str">
        <f>IF(A71="","",Input!G21)</f>
        <v/>
      </c>
      <c r="H71" s="26" t="str">
        <f t="shared" si="1"/>
        <v/>
      </c>
      <c r="I71" s="25" t="str">
        <f>IF(A71="","",Input!H21)</f>
        <v/>
      </c>
      <c r="J71" s="456" t="e">
        <f>C71*Template_P1!$C$3</f>
        <v>#VALUE!</v>
      </c>
      <c r="K71" s="3"/>
    </row>
    <row r="72" spans="1:12">
      <c r="A72" s="7" t="str">
        <f t="shared" si="2"/>
        <v/>
      </c>
      <c r="B72" s="23" t="str">
        <f>IF(A72="","",Input!E22)</f>
        <v/>
      </c>
      <c r="C72" s="24" t="str">
        <f>IF(ISNUMBER(Input!M22),Input!M22*Share_Price,"")</f>
        <v/>
      </c>
      <c r="D72" s="29">
        <f>Input!N22</f>
        <v>0</v>
      </c>
      <c r="E72" s="29" t="str">
        <f>Input!O22</f>
        <v>N</v>
      </c>
      <c r="F72" s="321">
        <f>IF(Input!M22="ND","-",Input!M22/Input!$C$138)</f>
        <v>0</v>
      </c>
      <c r="G72" s="25" t="str">
        <f>IF(A72="","",Input!G22)</f>
        <v/>
      </c>
      <c r="H72" s="26" t="str">
        <f t="shared" si="1"/>
        <v/>
      </c>
      <c r="I72" s="25" t="str">
        <f>IF(A72="","",Input!H22)</f>
        <v/>
      </c>
      <c r="J72" s="456" t="e">
        <f>C72*Template_P1!$C$3</f>
        <v>#VALUE!</v>
      </c>
      <c r="K72" s="3"/>
    </row>
    <row r="74" spans="1:12">
      <c r="A74" s="20" t="s">
        <v>89</v>
      </c>
    </row>
    <row r="75" spans="1:12" ht="24">
      <c r="A75" s="7"/>
      <c r="B75" s="142" t="s">
        <v>9</v>
      </c>
      <c r="C75" s="142" t="s">
        <v>94</v>
      </c>
      <c r="D75" s="142">
        <f>Input!B1</f>
        <v>2015</v>
      </c>
      <c r="E75" s="142">
        <f>D75-1</f>
        <v>2014</v>
      </c>
      <c r="F75" s="142">
        <f t="shared" ref="F75:H75" si="3">E75-1</f>
        <v>2013</v>
      </c>
      <c r="G75" s="142">
        <f t="shared" si="3"/>
        <v>2012</v>
      </c>
      <c r="H75" s="36">
        <f t="shared" si="3"/>
        <v>2011</v>
      </c>
      <c r="L75" s="3"/>
    </row>
    <row r="76" spans="1:12">
      <c r="A76" s="37" t="str">
        <f>IF(Input!B3="","",Input!B3)</f>
        <v>Keki M.Mistry</v>
      </c>
      <c r="B76" s="40" t="str">
        <f>IF(Input!H3="","",Input!H3)</f>
        <v>CMD</v>
      </c>
      <c r="C76" s="55">
        <f>IF(RIGHT(B76,8)="(Resign)",0,IF(B76="","",1))</f>
        <v>1</v>
      </c>
      <c r="D76" s="59">
        <f>IF(ISNUMBER((Input!C24+Input!D24)/(Input!E24+Input!F24)-1),(Input!C24+Input!D24)/(Input!E24+Input!F24)-1,0)</f>
        <v>-0.18181818181818188</v>
      </c>
      <c r="E76" s="59">
        <f>IF(ISNUMBER((Input!E24+Input!F24)/(Input!H24+Input!G24)-1),(Input!F24+Input!E24)/(Input!H24+Input!G24)-1,0)</f>
        <v>0.10000000000000009</v>
      </c>
      <c r="F76" s="60">
        <f>IF(ISNUMBER((Input!G24+Input!H24)/(Input!I24+Input!J24)-1),(Input!G24+Input!H24)/(Input!I24+Input!J24)-1,0)</f>
        <v>7.1428571428571397E-2</v>
      </c>
      <c r="G76" s="60">
        <f>IF(ISNUMBER((Input!I24+Input!J24)/(Input!K24+Input!L24)-1),(Input!I24+Input!J24)/(Input!K24+Input!L24)-1,0)</f>
        <v>0.39999999999999991</v>
      </c>
      <c r="H76" s="60">
        <f>IF(ISNUMBER((Input!K24+Input!L24)/(Input!M24+Input!N24)-1),(Input!K24+Input!L24)/(Input!M24+Input!N24)-1,0)</f>
        <v>0</v>
      </c>
      <c r="J76" s="3"/>
      <c r="L76" s="3"/>
    </row>
    <row r="77" spans="1:12">
      <c r="A77" s="37" t="str">
        <f>IF(Input!B4="","",Input!B4)</f>
        <v>Renu Sud Karnad</v>
      </c>
      <c r="B77" s="40" t="str">
        <f>IF(Input!H4="","",Input!H4)</f>
        <v>M</v>
      </c>
      <c r="C77" s="55">
        <f t="shared" ref="C77:C88" si="4">IF(RIGHT(B77,8)="(Resign)",0,IF(B77="","",1))</f>
        <v>1</v>
      </c>
      <c r="D77" s="59">
        <f>IF(ISNUMBER((Input!C25+Input!D25)/(Input!E25+Input!F25)-1),(Input!C25+Input!D25)/(Input!E25+Input!F25)-1,0)</f>
        <v>-0.5</v>
      </c>
      <c r="E77" s="59">
        <f>IF(ISNUMBER((Input!E25+Input!F25)/(Input!H25+Input!G25)-1),(Input!F25+Input!E25)/(Input!H25+Input!G25)-1,0)</f>
        <v>0.19999999999999996</v>
      </c>
      <c r="F77" s="60">
        <f>IF(ISNUMBER((Input!G25+Input!H25)/(Input!I25+Input!J25)-1),(Input!G25+Input!H25)/(Input!I25+Input!J25)-1,0)</f>
        <v>7.1428571428571397E-2</v>
      </c>
      <c r="G77" s="60">
        <f>IF(ISNUMBER((Input!I25+Input!J25)/(Input!K25+Input!L25)-1),(Input!I25+Input!J25)/(Input!K25+Input!L25)-1,0)</f>
        <v>0.39999999999999991</v>
      </c>
      <c r="H77" s="60">
        <f>IF(ISNUMBER((Input!K25+Input!L25)/(Input!M25+Input!N25)-1),(Input!K25+Input!L25)/(Input!M25+Input!N25)-1,0)</f>
        <v>0</v>
      </c>
      <c r="J77" s="3"/>
      <c r="L77" s="3"/>
    </row>
    <row r="78" spans="1:12">
      <c r="A78" s="37" t="str">
        <f>IF(Input!B5="","",Input!B5)</f>
        <v>S.M Palia</v>
      </c>
      <c r="B78" s="40" t="str">
        <f>IF(Input!H5="","",Input!H5)</f>
        <v>M</v>
      </c>
      <c r="C78" s="55">
        <f t="shared" si="4"/>
        <v>1</v>
      </c>
      <c r="D78" s="59">
        <f>IF(ISNUMBER((Input!C26+Input!D26)/(Input!E26+Input!F26)-1),(Input!C26+Input!D26)/(Input!E26+Input!F26)-1,0)</f>
        <v>-0.18181818181818188</v>
      </c>
      <c r="E78" s="59">
        <f>IF(ISNUMBER((Input!E26+Input!F26)/(Input!H26+Input!G26)-1),(Input!F26+Input!E26)/(Input!H26+Input!G26)-1,0)</f>
        <v>0.10000000000000009</v>
      </c>
      <c r="F78" s="60">
        <f>IF(ISNUMBER((Input!G26+Input!H26)/(Input!I26+Input!J26)-1),(Input!G26+Input!H26)/(Input!I26+Input!J26)-1,0)</f>
        <v>0</v>
      </c>
      <c r="G78" s="60">
        <f>IF(ISNUMBER((Input!I26+Input!J26)/(Input!K26+Input!L26)-1),(Input!I26+Input!J26)/(Input!K26+Input!L26)-1,0)</f>
        <v>0.5</v>
      </c>
      <c r="H78" s="60">
        <f>IF(ISNUMBER((Input!K26+Input!L26)/(Input!M26+Input!N26)-1),(Input!K26+Input!L26)/(Input!M26+Input!N26)-1,0)</f>
        <v>0</v>
      </c>
      <c r="J78" s="3"/>
      <c r="L78" s="3"/>
    </row>
    <row r="79" spans="1:12">
      <c r="A79" s="37" t="str">
        <f>IF(Input!B6="","",Input!B6)</f>
        <v>Rohit C. Mehta</v>
      </c>
      <c r="B79" s="40" t="str">
        <f>IF(Input!H6="","",Input!H6)</f>
        <v>M</v>
      </c>
      <c r="C79" s="55">
        <f t="shared" si="4"/>
        <v>1</v>
      </c>
      <c r="D79" s="59">
        <f>IF(ISNUMBER((Input!C27+Input!D27)/(Input!E27+Input!F27)-1),(Input!C27+Input!D27)/(Input!E27+Input!F27)-1,0)</f>
        <v>0.10000000000000009</v>
      </c>
      <c r="E79" s="59">
        <f>IF(ISNUMBER((Input!E27+Input!F27)/(Input!H27+Input!G27)-1),(Input!F27+Input!E27)/(Input!H27+Input!G27)-1,0)</f>
        <v>0</v>
      </c>
      <c r="F79" s="60">
        <f>IF(ISNUMBER((Input!G27+Input!H27)/(Input!I27+Input!J27)-1),(Input!G27+Input!H27)/(Input!I27+Input!J27)-1,0)</f>
        <v>-0.14285714285714302</v>
      </c>
      <c r="G79" s="60">
        <f>IF(ISNUMBER((Input!I27+Input!J27)/(Input!K27+Input!L27)-1),(Input!I27+Input!J27)/(Input!K27+Input!L27)-1,0)</f>
        <v>0.94444444444444486</v>
      </c>
      <c r="H79" s="60">
        <f>IF(ISNUMBER((Input!K27+Input!L27)/(Input!M27+Input!N27)-1),(Input!K27+Input!L27)/(Input!M27+Input!N27)-1,0)</f>
        <v>0</v>
      </c>
      <c r="J79" s="3"/>
      <c r="L79" s="3"/>
    </row>
    <row r="80" spans="1:12">
      <c r="A80" s="37" t="str">
        <f>IF(Input!B7="","",Input!B7)</f>
        <v>Prafull Anubhai</v>
      </c>
      <c r="B80" s="40" t="str">
        <f>IF(Input!H7="","",Input!H7)</f>
        <v>M</v>
      </c>
      <c r="C80" s="55">
        <f t="shared" si="4"/>
        <v>1</v>
      </c>
      <c r="D80" s="59">
        <f>IF(ISNUMBER((Input!C28+Input!D28)/(Input!E28+Input!F28)-1),(Input!C28+Input!D28)/(Input!E28+Input!F28)-1,0)</f>
        <v>-0.19999999999999996</v>
      </c>
      <c r="E80" s="59">
        <f>IF(ISNUMBER((Input!E28+Input!F28)/(Input!H28+Input!G28)-1),(Input!F28+Input!E28)/(Input!H28+Input!G28)-1,0)</f>
        <v>0.11111111111111116</v>
      </c>
      <c r="F80" s="60">
        <f>IF(ISNUMBER((Input!G28+Input!H28)/(Input!I28+Input!J28)-1),(Input!G28+Input!H28)/(Input!I28+Input!J28)-1,0)</f>
        <v>-3.5714285714285698E-2</v>
      </c>
      <c r="G80" s="60">
        <f>IF(ISNUMBER((Input!I28+Input!J28)/(Input!K28+Input!L28)-1),(Input!I28+Input!J28)/(Input!K28+Input!L28)-1,0)</f>
        <v>7.6923076923077094E-2</v>
      </c>
      <c r="H80" s="60">
        <f>IF(ISNUMBER((Input!K28+Input!L28)/(Input!M28+Input!N28)-1),(Input!K28+Input!L28)/(Input!M28+Input!N28)-1,0)</f>
        <v>0</v>
      </c>
      <c r="J80" s="3"/>
      <c r="L80" s="3"/>
    </row>
    <row r="81" spans="1:12">
      <c r="A81" s="37" t="str">
        <f>IF(Input!B8="","",Input!B8)</f>
        <v>K.G Krishnamurty</v>
      </c>
      <c r="B81" s="40" t="str">
        <f>IF(Input!H8="","",Input!H8)</f>
        <v>M</v>
      </c>
      <c r="C81" s="55">
        <f t="shared" si="4"/>
        <v>1</v>
      </c>
      <c r="D81" s="59">
        <f>IF(ISNUMBER((Input!C29+Input!D29)/(Input!E29+Input!F29)-1),(Input!C29+Input!D29)/(Input!E29+Input!F29)-1,0)</f>
        <v>0.25</v>
      </c>
      <c r="E81" s="59">
        <f>IF(ISNUMBER((Input!E29+Input!F29)/(Input!H29+Input!G29)-1),(Input!F29+Input!E29)/(Input!H29+Input!G29)-1,0)</f>
        <v>0</v>
      </c>
      <c r="F81" s="60">
        <f>IF(ISNUMBER((Input!G29+Input!H29)/(Input!I29+Input!J29)-1),(Input!G29+Input!H29)/(Input!I29+Input!J29)-1,0)</f>
        <v>-0.5</v>
      </c>
      <c r="G81" s="60">
        <f>IF(ISNUMBER((Input!I29+Input!J29)/(Input!K29+Input!L29)-1),(Input!I29+Input!J29)/(Input!K29+Input!L29)-1,0)</f>
        <v>1.4</v>
      </c>
      <c r="H81" s="60">
        <f>IF(ISNUMBER((Input!K29+Input!L29)/(Input!M29+Input!N29)-1),(Input!K29+Input!L29)/(Input!M29+Input!N29)-1,0)</f>
        <v>0</v>
      </c>
      <c r="J81" s="3"/>
      <c r="L81" s="3"/>
    </row>
    <row r="82" spans="1:12">
      <c r="A82" s="37" t="str">
        <f>IF(Input!B9="","",Input!B9)</f>
        <v>S.G Mankad</v>
      </c>
      <c r="B82" s="40" t="str">
        <f>IF(Input!H9="","",Input!H9)</f>
        <v>M</v>
      </c>
      <c r="C82" s="55">
        <f t="shared" si="4"/>
        <v>1</v>
      </c>
      <c r="D82" s="59">
        <f>IF(ISNUMBER((Input!C30+Input!D30)/(Input!E30+Input!F30)-1),(Input!C30+Input!D30)/(Input!E30+Input!F30)-1,0)</f>
        <v>0.28571428571428559</v>
      </c>
      <c r="E82" s="59">
        <f>IF(ISNUMBER((Input!E30+Input!F30)/(Input!H30+Input!G30)-1),(Input!F30+Input!E30)/(Input!H30+Input!G30)-1,0)</f>
        <v>-0.125</v>
      </c>
      <c r="F82" s="60">
        <f>IF(ISNUMBER((Input!G30+Input!H30)/(Input!I30+Input!J30)-1),(Input!G30+Input!H30)/(Input!I30+Input!J30)-1,0)</f>
        <v>0.33333333333333348</v>
      </c>
      <c r="G82" s="60">
        <f>IF(ISNUMBER((Input!I30+Input!J30)/(Input!K30+Input!L30)-1),(Input!I30+Input!J30)/(Input!K30+Input!L30)-1,0)</f>
        <v>8</v>
      </c>
      <c r="H82" s="60">
        <f>IF(ISNUMBER((Input!K30+Input!L30)/(Input!M30+Input!N30)-1),(Input!K30+Input!L30)/(Input!M30+Input!N30)-1,0)</f>
        <v>0</v>
      </c>
      <c r="J82" s="3"/>
      <c r="L82" s="3"/>
    </row>
    <row r="83" spans="1:12">
      <c r="A83" s="37" t="str">
        <f>IF(Input!B10="","",Input!B10)</f>
        <v>Kamlesh Shah</v>
      </c>
      <c r="B83" s="40" t="str">
        <f>IF(Input!H10="","",Input!H10)</f>
        <v>M</v>
      </c>
      <c r="C83" s="55">
        <f t="shared" si="4"/>
        <v>1</v>
      </c>
      <c r="D83" s="59">
        <f>IF(ISNUMBER((Input!C31+Input!D31)/(Input!E31+Input!F31)-1),(Input!C31+Input!D31)/(Input!E31+Input!F31)-1,0)</f>
        <v>0.16129032258064502</v>
      </c>
      <c r="E83" s="59">
        <f>IF(ISNUMBER((Input!E31+Input!F31)/(Input!H31+Input!G31)-1),(Input!F31+Input!E31)/(Input!H31+Input!G31)-1,0)</f>
        <v>-0.56944444444444442</v>
      </c>
      <c r="F83" s="60">
        <f>IF(ISNUMBER((Input!G31+Input!H31)/(Input!I31+Input!J31)-1),(Input!G31+Input!H31)/(Input!I31+Input!J31)-1,0)</f>
        <v>0</v>
      </c>
      <c r="G83" s="60">
        <f>IF(ISNUMBER((Input!I31+Input!J31)/(Input!K31+Input!L31)-1),(Input!I31+Input!J31)/(Input!K31+Input!L31)-1,0)</f>
        <v>0</v>
      </c>
      <c r="H83" s="60">
        <f>IF(ISNUMBER((Input!K31+Input!L31)/(Input!M31+Input!N31)-1),(Input!K31+Input!L31)/(Input!M31+Input!N31)-1,0)</f>
        <v>0</v>
      </c>
      <c r="J83" s="3"/>
      <c r="L83" s="3"/>
    </row>
    <row r="84" spans="1:12">
      <c r="A84" s="37" t="str">
        <f>IF(Input!B11="","",Input!B11)</f>
        <v>Sudhin Choksey</v>
      </c>
      <c r="B84" s="40" t="str">
        <f>IF(Input!H11="","",Input!H11)</f>
        <v>MD</v>
      </c>
      <c r="C84" s="55">
        <f t="shared" si="4"/>
        <v>1</v>
      </c>
      <c r="D84" s="59">
        <f>IF(ISNUMBER((Input!C32+Input!D32)/(Input!E32+Input!F32)-1),(Input!C32+Input!D32)/(Input!E32+Input!F32)-1,0)</f>
        <v>0.23563218390804597</v>
      </c>
      <c r="E84" s="59">
        <f>IF(ISNUMBER((Input!E32+Input!F32)/(Input!H32+Input!G32)-1),(Input!F32+Input!E32)/(Input!H32+Input!G32)-1,0)</f>
        <v>2.7021276595744683</v>
      </c>
      <c r="F84" s="60">
        <f>IF(ISNUMBER((Input!G32+Input!H32)/(Input!I32+Input!J32)-1),(Input!G32+Input!H32)/(Input!I32+Input!J32)-1,0)</f>
        <v>0</v>
      </c>
      <c r="G84" s="60">
        <f>IF(ISNUMBER((Input!I32+Input!J32)/(Input!K32+Input!L32)-1),(Input!I32+Input!J32)/(Input!K32+Input!L32)-1,0)</f>
        <v>-1</v>
      </c>
      <c r="H84" s="60">
        <f>IF(ISNUMBER((Input!K32+Input!L32)/(Input!M32+Input!N32)-1),(Input!K32+Input!L32)/(Input!M32+Input!N32)-1,0)</f>
        <v>0</v>
      </c>
      <c r="J84" s="3"/>
      <c r="L84" s="3"/>
    </row>
    <row r="85" spans="1:12">
      <c r="A85" s="37" t="str">
        <f>IF(Input!B12="","",Input!B12)</f>
        <v/>
      </c>
      <c r="B85" s="40" t="str">
        <f>IF(Input!H12="","",Input!H12)</f>
        <v/>
      </c>
      <c r="C85" s="55" t="str">
        <f t="shared" si="4"/>
        <v/>
      </c>
      <c r="D85" s="59">
        <f>IF(ISNUMBER((Input!C33+Input!D33)/(Input!E33+Input!F33)-1),(Input!C33+Input!D33)/(Input!E33+Input!F33)-1,0)</f>
        <v>0</v>
      </c>
      <c r="E85" s="59">
        <f>IF(ISNUMBER((Input!E33+Input!F33)/(Input!H33+Input!G33)-1),(Input!F33+Input!E33)/(Input!H33+Input!G33)-1,0)</f>
        <v>0</v>
      </c>
      <c r="F85" s="60">
        <f>IF(ISNUMBER((Input!G33+Input!H33)/(Input!I33+Input!J33)-1),(Input!G33+Input!H33)/(Input!I33+Input!J33)-1,0)</f>
        <v>0</v>
      </c>
      <c r="G85" s="60">
        <f>IF(ISNUMBER((Input!I33+Input!J33)/(Input!K33+Input!L33)-1),(Input!I33+Input!J33)/(Input!K33+Input!L33)-1,0)</f>
        <v>0</v>
      </c>
      <c r="H85" s="60">
        <f>IF(ISNUMBER((Input!K33+Input!L33)/(Input!M33+Input!N33)-1),(Input!K33+Input!L33)/(Input!M33+Input!N33)-1,0)</f>
        <v>0</v>
      </c>
      <c r="J85" s="3"/>
      <c r="L85" s="3"/>
    </row>
    <row r="86" spans="1:12">
      <c r="A86" s="37" t="str">
        <f>IF(Input!B13="","",Input!B13)</f>
        <v/>
      </c>
      <c r="B86" s="40" t="str">
        <f>IF(Input!H13="","",Input!H13)</f>
        <v/>
      </c>
      <c r="C86" s="55" t="str">
        <f t="shared" si="4"/>
        <v/>
      </c>
      <c r="D86" s="59">
        <f>IF(ISNUMBER((Input!C34+Input!D34)/(Input!E34+Input!F34)-1),(Input!C34+Input!D34)/(Input!E34+Input!F34)-1,0)</f>
        <v>0</v>
      </c>
      <c r="E86" s="59">
        <f>IF(ISNUMBER((Input!E34+Input!F34)/(Input!H34+Input!G34)-1),(Input!F34+Input!E34)/(Input!H34+Input!G34)-1,0)</f>
        <v>0</v>
      </c>
      <c r="F86" s="60">
        <f>IF(ISNUMBER((Input!G34+Input!H34)/(Input!I34+Input!J34)-1),(Input!G34+Input!H34)/(Input!I34+Input!J34)-1,0)</f>
        <v>0</v>
      </c>
      <c r="G86" s="60">
        <f>IF(ISNUMBER((Input!I34+Input!J34)/(Input!K34+Input!L34)-1),(Input!I34+Input!J34)/(Input!K34+Input!L34)-1,0)</f>
        <v>0</v>
      </c>
      <c r="H86" s="60">
        <f>IF(ISNUMBER((Input!K34+Input!L34)/(Input!M34+Input!N34)-1),(Input!K34+Input!L34)/(Input!M34+Input!N34)-1,0)</f>
        <v>0</v>
      </c>
      <c r="J86" s="3"/>
      <c r="L86" s="3"/>
    </row>
    <row r="87" spans="1:12">
      <c r="A87" s="37" t="str">
        <f>IF(Input!B14="","",Input!B14)</f>
        <v/>
      </c>
      <c r="B87" s="40" t="str">
        <f>IF(Input!H14="","",Input!H14)</f>
        <v/>
      </c>
      <c r="C87" s="55" t="str">
        <f t="shared" si="4"/>
        <v/>
      </c>
      <c r="D87" s="59">
        <f>IF(ISNUMBER((Input!C35+Input!D35)/(Input!E35+Input!F35)-1),(Input!C35+Input!D35)/(Input!E35+Input!F35)-1,0)</f>
        <v>0</v>
      </c>
      <c r="E87" s="59">
        <f>IF(ISNUMBER((Input!E35+Input!F35)/(Input!H35+Input!G35)-1),(Input!F35+Input!E35)/(Input!H35+Input!G35)-1,0)</f>
        <v>0</v>
      </c>
      <c r="F87" s="60">
        <f>IF(ISNUMBER((Input!G35+Input!H35)/(Input!I35+Input!J35)-1),(Input!G35+Input!H35)/(Input!I35+Input!J35)-1,0)</f>
        <v>0</v>
      </c>
      <c r="G87" s="60">
        <f>IF(ISNUMBER((Input!I35+Input!J35)/(Input!K35+Input!L35)-1),(Input!I35+Input!J35)/(Input!K35+Input!L35)-1,0)</f>
        <v>0</v>
      </c>
      <c r="H87" s="60">
        <f>IF(ISNUMBER((Input!K35+Input!L35)/(Input!M35+Input!N35)-1),(Input!K35+Input!L35)/(Input!M35+Input!N35)-1,0)</f>
        <v>0</v>
      </c>
      <c r="J87" s="3"/>
      <c r="L87" s="3"/>
    </row>
    <row r="88" spans="1:12">
      <c r="A88" s="37" t="str">
        <f>IF(Input!B15="","",Input!B15)</f>
        <v/>
      </c>
      <c r="B88" s="40" t="str">
        <f>IF(Input!H15="","",Input!H15)</f>
        <v/>
      </c>
      <c r="C88" s="55" t="str">
        <f t="shared" si="4"/>
        <v/>
      </c>
      <c r="D88" s="59">
        <f>IF(ISNUMBER((Input!C36+Input!D36)/(Input!E36+Input!F36)-1),(Input!C36+Input!D36)/(Input!E36+Input!F36)-1,0)</f>
        <v>0</v>
      </c>
      <c r="E88" s="59">
        <f>IF(ISNUMBER((Input!E36+Input!F36)/(Input!H36+Input!G36)-1),(Input!F36+Input!E36)/(Input!H36+Input!G36)-1,0)</f>
        <v>0</v>
      </c>
      <c r="F88" s="60">
        <f>IF(ISNUMBER((Input!G36+Input!H36)/(Input!I36+Input!J36)-1),(Input!G36+Input!H36)/(Input!I36+Input!J36)-1,0)</f>
        <v>0</v>
      </c>
      <c r="G88" s="60">
        <f>IF(ISNUMBER((Input!I36+Input!J36)/(Input!K36+Input!L36)-1),(Input!I36+Input!J36)/(Input!K36+Input!L36)-1,0)</f>
        <v>0</v>
      </c>
      <c r="H88" s="60">
        <f>IF(ISNUMBER((Input!K36+Input!L36)/(Input!M36+Input!N36)-1),(Input!K36+Input!L36)/(Input!M36+Input!N36)-1,0)</f>
        <v>0</v>
      </c>
      <c r="J88" s="3"/>
      <c r="L88" s="3"/>
    </row>
    <row r="89" spans="1:12">
      <c r="A89" s="37" t="str">
        <f>IF(Input!B16="","",Input!B16)</f>
        <v/>
      </c>
      <c r="B89" s="40" t="str">
        <f>IF(Input!H16="","",Input!H16)</f>
        <v/>
      </c>
      <c r="C89" s="55" t="str">
        <f t="shared" ref="C89:C95" si="5">IF(RIGHT(B89,8)="(Resign)",0,IF(B89="","",1))</f>
        <v/>
      </c>
      <c r="D89" s="59">
        <f>IF(ISNUMBER((Input!C37+Input!D37)/(Input!E37+Input!F37)-1),(Input!C37+Input!D37)/(Input!E37+Input!F37)-1,0)</f>
        <v>0</v>
      </c>
      <c r="E89" s="59">
        <f>IF(ISNUMBER((Input!E37+Input!F37)/(Input!H37+Input!G37)-1),(Input!F37+Input!E37)/(Input!H37+Input!G37)-1,0)</f>
        <v>0</v>
      </c>
      <c r="F89" s="60">
        <f>IF(ISNUMBER((Input!G37+Input!H37)/(Input!I37+Input!J37)-1),(Input!G37+Input!H37)/(Input!I37+Input!J37)-1,0)</f>
        <v>0</v>
      </c>
      <c r="G89" s="60">
        <f>IF(ISNUMBER((Input!I37+Input!J37)/(Input!K37+Input!L37)-1),(Input!I37+Input!J37)/(Input!K37+Input!L37)-1,0)</f>
        <v>0</v>
      </c>
      <c r="H89" s="60">
        <f>IF(ISNUMBER((Input!K37+Input!L37)/(Input!M37+Input!N37)-1),(Input!K37+Input!L37)/(Input!M37+Input!N37)-1,0)</f>
        <v>0</v>
      </c>
      <c r="J89" s="3"/>
      <c r="L89" s="3"/>
    </row>
    <row r="90" spans="1:12">
      <c r="A90" s="37" t="str">
        <f>IF(Input!B17="","",Input!B17)</f>
        <v/>
      </c>
      <c r="B90" s="40" t="str">
        <f>IF(Input!H17="","",Input!H17)</f>
        <v/>
      </c>
      <c r="C90" s="55" t="str">
        <f t="shared" si="5"/>
        <v/>
      </c>
      <c r="D90" s="59">
        <f>IF(ISNUMBER((Input!C38+Input!D38)/(Input!E38+Input!F38)-1),(Input!C38+Input!D38)/(Input!E38+Input!F38)-1,0)</f>
        <v>0</v>
      </c>
      <c r="E90" s="59">
        <f>IF(ISNUMBER((Input!E38+Input!F38)/(Input!H38+Input!G38)-1),(Input!F38+Input!E38)/(Input!H38+Input!G38)-1,0)</f>
        <v>0</v>
      </c>
      <c r="F90" s="60">
        <f>IF(ISNUMBER((Input!G38+Input!H38)/(Input!I38+Input!J38)-1),(Input!G38+Input!H38)/(Input!I38+Input!J38)-1,0)</f>
        <v>0</v>
      </c>
      <c r="G90" s="60">
        <f>IF(ISNUMBER((Input!I38+Input!J38)/(Input!K38+Input!L38)-1),(Input!I38+Input!J38)/(Input!K38+Input!L38)-1,0)</f>
        <v>0</v>
      </c>
      <c r="H90" s="60">
        <f>IF(ISNUMBER((Input!K38+Input!L38)/(Input!M38+Input!N38)-1),(Input!K38+Input!L38)/(Input!M38+Input!N38)-1,0)</f>
        <v>0</v>
      </c>
      <c r="J90" s="3"/>
      <c r="L90" s="3"/>
    </row>
    <row r="91" spans="1:12">
      <c r="A91" s="37" t="str">
        <f>IF(Input!B18="","",Input!B18)</f>
        <v/>
      </c>
      <c r="B91" s="40" t="str">
        <f>IF(Input!H18="","",Input!H18)</f>
        <v/>
      </c>
      <c r="C91" s="55" t="str">
        <f t="shared" si="5"/>
        <v/>
      </c>
      <c r="D91" s="59">
        <f>IF(ISNUMBER((Input!C39+Input!D39)/(Input!E39+Input!F39)-1),(Input!C39+Input!D39)/(Input!E39+Input!F39)-1,0)</f>
        <v>0</v>
      </c>
      <c r="E91" s="59">
        <f>IF(ISNUMBER((Input!E39+Input!F39)/(Input!H39+Input!G39)-1),(Input!F39+Input!E39)/(Input!H39+Input!G39)-1,0)</f>
        <v>0</v>
      </c>
      <c r="F91" s="60">
        <f>IF(ISNUMBER((Input!G39+Input!H39)/(Input!I39+Input!J39)-1),(Input!G39+Input!H39)/(Input!I39+Input!J39)-1,0)</f>
        <v>0</v>
      </c>
      <c r="G91" s="60">
        <f>IF(ISNUMBER((Input!I39+Input!J39)/(Input!K39+Input!L39)-1),(Input!I39+Input!J39)/(Input!K39+Input!L39)-1,0)</f>
        <v>0</v>
      </c>
      <c r="H91" s="60">
        <f>IF(ISNUMBER((Input!K39+Input!L39)/(Input!M39+Input!N39)-1),(Input!K39+Input!L39)/(Input!M39+Input!N39)-1,0)</f>
        <v>0</v>
      </c>
      <c r="J91" s="3"/>
      <c r="L91" s="3"/>
    </row>
    <row r="92" spans="1:12">
      <c r="A92" s="37" t="str">
        <f>IF(Input!B19="","",Input!B19)</f>
        <v/>
      </c>
      <c r="B92" s="40" t="str">
        <f>IF(Input!H19="","",Input!H19)</f>
        <v/>
      </c>
      <c r="C92" s="55" t="str">
        <f t="shared" si="5"/>
        <v/>
      </c>
      <c r="D92" s="59">
        <f>IF(ISNUMBER((Input!C40+Input!D40)/(Input!E40+Input!F40)-1),(Input!C40+Input!D40)/(Input!E40+Input!F40)-1,0)</f>
        <v>0</v>
      </c>
      <c r="E92" s="59">
        <f>IF(ISNUMBER((Input!E40+Input!F40)/(Input!H40+Input!G40)-1),(Input!F40+Input!E40)/(Input!H40+Input!G40)-1,0)</f>
        <v>0</v>
      </c>
      <c r="F92" s="60">
        <f>IF(ISNUMBER((Input!G40+Input!H40)/(Input!I40+Input!J40)-1),(Input!G40+Input!H40)/(Input!I40+Input!J40)-1,0)</f>
        <v>0</v>
      </c>
      <c r="G92" s="60">
        <f>IF(ISNUMBER((Input!I40+Input!J40)/(Input!K40+Input!L40)-1),(Input!I40+Input!J40)/(Input!K40+Input!L40)-1,0)</f>
        <v>0</v>
      </c>
      <c r="H92" s="60">
        <f>IF(ISNUMBER((Input!K40+Input!L40)/(Input!M40+Input!N40)-1),(Input!K40+Input!L40)/(Input!M40+Input!N40)-1,0)</f>
        <v>0</v>
      </c>
      <c r="J92" s="3"/>
      <c r="L92" s="3"/>
    </row>
    <row r="93" spans="1:12">
      <c r="A93" s="37" t="str">
        <f>IF(Input!B20="","",Input!B20)</f>
        <v/>
      </c>
      <c r="B93" s="40" t="str">
        <f>IF(Input!H20="","",Input!H20)</f>
        <v/>
      </c>
      <c r="C93" s="55" t="str">
        <f t="shared" si="5"/>
        <v/>
      </c>
      <c r="D93" s="59">
        <f>IF(ISNUMBER((Input!C41+Input!D41)/(Input!E41+Input!F41)-1),(Input!C41+Input!D41)/(Input!E41+Input!F41)-1,0)</f>
        <v>0</v>
      </c>
      <c r="E93" s="59">
        <f>IF(ISNUMBER((Input!E41+Input!F41)/(Input!H41+Input!G41)-1),(Input!F41+Input!E41)/(Input!H41+Input!G41)-1,0)</f>
        <v>0</v>
      </c>
      <c r="F93" s="60">
        <f>IF(ISNUMBER((Input!G41+Input!H41)/(Input!I41+Input!J41)-1),(Input!G41+Input!H41)/(Input!I41+Input!J41)-1,0)</f>
        <v>0</v>
      </c>
      <c r="G93" s="60">
        <f>IF(ISNUMBER((Input!I41+Input!J41)/(Input!K41+Input!L41)-1),(Input!I41+Input!J41)/(Input!K41+Input!L41)-1,0)</f>
        <v>0</v>
      </c>
      <c r="H93" s="60">
        <f>IF(ISNUMBER((Input!K41+Input!L41)/(Input!M41+Input!N41)-1),(Input!K41+Input!L41)/(Input!M41+Input!N41)-1,0)</f>
        <v>0</v>
      </c>
      <c r="J93" s="3"/>
      <c r="L93" s="3"/>
    </row>
    <row r="94" spans="1:12">
      <c r="A94" s="37" t="str">
        <f>IF(Input!B21="","",Input!B21)</f>
        <v/>
      </c>
      <c r="B94" s="40" t="str">
        <f>IF(Input!H21="","",Input!H21)</f>
        <v/>
      </c>
      <c r="C94" s="55" t="str">
        <f t="shared" si="5"/>
        <v/>
      </c>
      <c r="D94" s="59">
        <f>IF(ISNUMBER((Input!C42+Input!D42)/(Input!E42+Input!F42)-1),(Input!C42+Input!D42)/(Input!E42+Input!F42)-1,0)</f>
        <v>0</v>
      </c>
      <c r="E94" s="59">
        <f>IF(ISNUMBER((Input!E42+Input!F42)/(Input!H42+Input!G42)-1),(Input!F42+Input!E42)/(Input!H42+Input!G42)-1,0)</f>
        <v>0</v>
      </c>
      <c r="F94" s="60">
        <f>IF(ISNUMBER((Input!G42+Input!H42)/(Input!I42+Input!J42)-1),(Input!G42+Input!H42)/(Input!I42+Input!J42)-1,0)</f>
        <v>0</v>
      </c>
      <c r="G94" s="60">
        <f>IF(ISNUMBER((Input!I42+Input!J42)/(Input!K42+Input!L42)-1),(Input!I42+Input!J42)/(Input!K42+Input!L42)-1,0)</f>
        <v>0</v>
      </c>
      <c r="H94" s="60">
        <f>IF(ISNUMBER((Input!K42+Input!L42)/(Input!M42+Input!N42)-1),(Input!K42+Input!L42)/(Input!M42+Input!N42)-1,0)</f>
        <v>0</v>
      </c>
      <c r="J94" s="3"/>
      <c r="L94" s="3"/>
    </row>
    <row r="95" spans="1:12">
      <c r="A95" s="37" t="str">
        <f>IF(Input!B22="","",Input!B22)</f>
        <v/>
      </c>
      <c r="B95" s="40" t="str">
        <f>IF(Input!H22="","",Input!H22)</f>
        <v/>
      </c>
      <c r="C95" s="55" t="str">
        <f t="shared" si="5"/>
        <v/>
      </c>
      <c r="D95" s="59">
        <f>IF(ISNUMBER((Input!C43+Input!D43)/(Input!E43+Input!F43)-1),(Input!C43+Input!D43)/(Input!E43+Input!F43)-1,0)</f>
        <v>0</v>
      </c>
      <c r="E95" s="59">
        <f>IF(ISNUMBER((Input!E43+Input!F43)/(Input!H43+Input!G43)-1),(Input!F43+Input!E43)/(Input!H43+Input!G43)-1,0)</f>
        <v>0</v>
      </c>
      <c r="F95" s="60">
        <f>IF(ISNUMBER((Input!G43+Input!H43)/(Input!I43+Input!J43)-1),(Input!G43+Input!H43)/(Input!I43+Input!J43)-1,0)</f>
        <v>0</v>
      </c>
      <c r="G95" s="60">
        <f>IF(ISNUMBER((Input!I43+Input!J43)/(Input!K43+Input!L43)-1),(Input!I43+Input!J43)/(Input!K43+Input!L43)-1,0)</f>
        <v>0</v>
      </c>
      <c r="H95" s="60">
        <f>IF(ISNUMBER((Input!K43+Input!L43)/(Input!M43+Input!N43)-1),(Input!K43+Input!L43)/(Input!M43+Input!N43)-1,0)</f>
        <v>0</v>
      </c>
      <c r="J95" s="3"/>
      <c r="L95" s="3"/>
    </row>
    <row r="96" spans="1:12">
      <c r="A96" s="43"/>
      <c r="B96" s="44"/>
      <c r="C96" s="44"/>
      <c r="D96" s="45"/>
      <c r="E96" s="45"/>
      <c r="F96" s="45"/>
      <c r="G96" s="45"/>
      <c r="H96" s="45"/>
      <c r="K96" s="3"/>
    </row>
    <row r="97" spans="1:6">
      <c r="B97" s="32" t="s">
        <v>113</v>
      </c>
      <c r="C97" s="32" t="s">
        <v>112</v>
      </c>
    </row>
    <row r="98" spans="1:6">
      <c r="A98" s="13" t="s">
        <v>91</v>
      </c>
      <c r="B98" s="203">
        <f t="array" ref="B98">SUMPRODUCT(IF(B76:B95="MD",1,0),(1+D76:D95),(1+E76:E95),(1+F76:F95),(1+G76:G95),(1+H76:H95),C76:C95)</f>
        <v>0</v>
      </c>
      <c r="C98" s="60">
        <f>B98^0.2-1</f>
        <v>-1</v>
      </c>
    </row>
    <row r="99" spans="1:6">
      <c r="A99" s="13" t="s">
        <v>93</v>
      </c>
      <c r="B99" s="203">
        <f t="array" ref="B99">SUMPRODUCT(IF(LEFT($B$76:$B$95,1)="C",1,0)*IF(RIGHT(Director_Classification,1)="P",1,0),(1+$D$76:$D$95),(1+$E$76:$E$95),(1+$F$76:$F$95),(1+$G$76:$G$95),(1+$H$76:$H$95),C76:C95)</f>
        <v>1.3499999999999999</v>
      </c>
      <c r="C99" s="60">
        <f>B99^0.2-1</f>
        <v>6.185875879493441E-2</v>
      </c>
    </row>
    <row r="100" spans="1:6">
      <c r="A100" s="13" t="s">
        <v>92</v>
      </c>
      <c r="B100" s="203">
        <f t="array" aca="1" ref="B100" ca="1">SUMPRODUCT(1*IF(RIGHT(Director_Classification,1)="P",1,0),(1+$D$76:$D$95),(1+$E$76:$E$95),(1+$F$76:$F$95),(1+$G$76:$G$95),(1+$H$76:$H$95),C76:C95)/Output!E5</f>
        <v>1.1249999999999998</v>
      </c>
      <c r="C100" s="60">
        <f ca="1">B100^0.2-1</f>
        <v>2.3836255539609663E-2</v>
      </c>
    </row>
    <row r="101" spans="1:6">
      <c r="A101" s="188" t="s">
        <v>133</v>
      </c>
      <c r="B101" s="204">
        <f>Input!C131/Input!H131</f>
        <v>0.17989417989417991</v>
      </c>
      <c r="C101" s="60">
        <f>B101^0.2-1</f>
        <v>-0.29041663999722311</v>
      </c>
    </row>
    <row r="102" spans="1:6">
      <c r="A102" s="188" t="s">
        <v>137</v>
      </c>
      <c r="B102" s="204">
        <f>Input!C135/Input!H135</f>
        <v>0.88112645545626878</v>
      </c>
      <c r="C102" s="60">
        <f t="shared" ref="C102" si="6">B102^0.2-1</f>
        <v>-2.4993191970896667E-2</v>
      </c>
    </row>
    <row r="103" spans="1:6">
      <c r="A103" s="1"/>
      <c r="C103" s="50"/>
    </row>
    <row r="104" spans="1:6">
      <c r="A104" s="13" t="s">
        <v>100</v>
      </c>
      <c r="B104" s="61" t="e">
        <f t="array" aca="1" ref="B104" ca="1">SUMPRODUCT(1*IF(Director_Classification="EDP",1,0),(Input!$C$24:$C$43+Input!$D$24:$D$43),$C$76:$C$95)/COUNTIF(OFFSET(Input!$G$3,0,0,Total_Directors,1),"=EDP" )</f>
        <v>#DIV/0!</v>
      </c>
      <c r="C104" s="50"/>
    </row>
    <row r="105" spans="1:6">
      <c r="A105" s="13" t="s">
        <v>102</v>
      </c>
      <c r="B105" s="202">
        <f ca="1">SUMPRODUCT(1*(Director_Classification="ED"),(Input!$C$24:$C$43+Input!$D$24:$D43),$C$76:$C$95)/COUNTIF(OFFSET(Input!G3,0,0,Total_Directors,1),"=ED" )</f>
        <v>1.4350000000000001</v>
      </c>
      <c r="C105" s="50"/>
    </row>
    <row r="106" spans="1:6">
      <c r="A106" s="13" t="s">
        <v>101</v>
      </c>
      <c r="B106" s="202">
        <f ca="1">SUMPRODUCT(1*(Director_Classification="NEDP"),(Input!$C$24:$C$43+Input!$D$24:$D$43),$C$76:$C$95)/COUNTIF(OFFSET(Input!G3,0,0,Total_Directors,1),"=NEDP" )</f>
        <v>8.9999999999999993E-3</v>
      </c>
      <c r="C106" s="50"/>
    </row>
    <row r="107" spans="1:6">
      <c r="A107" s="13" t="s">
        <v>103</v>
      </c>
      <c r="B107" s="202" t="e">
        <f ca="1">SUMPRODUCT(1*(Director_Classification="NED"),(Input!$C$24:$C$43+Input!$D$24:$D$43),$C$76:$C$95)/COUNTIF(OFFSET(Input!$G$3,0,0,Total_Directors,1),"=NED" )</f>
        <v>#DIV/0!</v>
      </c>
      <c r="C107" s="50"/>
    </row>
    <row r="108" spans="1:6">
      <c r="A108" s="13" t="s">
        <v>99</v>
      </c>
      <c r="B108" s="202">
        <f ca="1">SUMPRODUCT(1*(RIGHT(Director_Classification,2)="ID"),(Input!$C$24:$C$43+Input!$D$24:$D$43),$C$76:$C$95)/Output!F5</f>
        <v>1.26E-2</v>
      </c>
    </row>
    <row r="110" spans="1:6">
      <c r="A110" s="188"/>
      <c r="B110" s="189">
        <v>2015</v>
      </c>
      <c r="C110" s="189">
        <v>2014</v>
      </c>
      <c r="D110" s="189">
        <v>2013</v>
      </c>
      <c r="E110" s="189">
        <v>2012</v>
      </c>
      <c r="F110" s="189">
        <v>2011</v>
      </c>
    </row>
    <row r="111" spans="1:6">
      <c r="A111" s="188" t="s">
        <v>132</v>
      </c>
      <c r="B111" s="59">
        <f>Input!C134/SUM(Input!C132:C134)</f>
        <v>4.6097111247695138E-2</v>
      </c>
      <c r="C111" s="59">
        <f>Input!D134/SUM(Input!D132:D134)</f>
        <v>0.16819571865443425</v>
      </c>
      <c r="D111" s="59">
        <f>Input!E134/SUM(Input!E132:E134)</f>
        <v>0.20479812755997662</v>
      </c>
      <c r="E111" s="59">
        <f>Input!F134/SUM(Input!F132:F134)</f>
        <v>0.24263959390862944</v>
      </c>
      <c r="F111" s="59">
        <f>Input!G134/SUM(Input!G132:G134)</f>
        <v>0.47813487881981032</v>
      </c>
    </row>
    <row r="112" spans="1:6">
      <c r="A112" s="188" t="s">
        <v>136</v>
      </c>
      <c r="B112" s="59">
        <f>(Input!C135-Input!D135)/Input!D135</f>
        <v>0.99021406727828754</v>
      </c>
      <c r="C112" s="59">
        <f>(Input!D135-Input!E135)/Input!E135</f>
        <v>-4.3300175541252137E-2</v>
      </c>
      <c r="D112" s="59">
        <f>(Input!E135-Input!F135)/Input!F135</f>
        <v>-0.13248730964467009</v>
      </c>
      <c r="E112" s="59">
        <f>(Input!F135-Input!G135)/Input!G135</f>
        <v>-0.48103266596417277</v>
      </c>
      <c r="F112" s="59">
        <f>(Input!G135-Input!H135)/Input!H135</f>
        <v>2.7890603845112463E-2</v>
      </c>
    </row>
    <row r="113" spans="1:9">
      <c r="B113" s="190"/>
      <c r="C113" s="190"/>
      <c r="D113" s="190"/>
      <c r="E113" s="190"/>
      <c r="F113" s="190"/>
    </row>
    <row r="114" spans="1:9">
      <c r="A114" s="141"/>
      <c r="B114" s="31" t="str">
        <f>Input!D130</f>
        <v>FY 13/14</v>
      </c>
      <c r="C114" s="31" t="str">
        <f>Input!C130</f>
        <v>FY 14/15</v>
      </c>
      <c r="D114" s="190"/>
      <c r="E114" s="190"/>
      <c r="H114" s="3"/>
      <c r="I114" s="1"/>
    </row>
    <row r="115" spans="1:9">
      <c r="A115" s="13" t="s">
        <v>180</v>
      </c>
      <c r="B115" s="60">
        <f>Input!$D$132/Input!$D$135</f>
        <v>0.55045871559633019</v>
      </c>
      <c r="C115" s="60">
        <f>Input!$C$132/Input!$C$135</f>
        <v>0.58389674247080514</v>
      </c>
      <c r="D115" s="190"/>
      <c r="E115" s="190"/>
      <c r="H115" s="3"/>
      <c r="I115" s="1"/>
    </row>
    <row r="116" spans="1:9">
      <c r="A116" s="13" t="s">
        <v>181</v>
      </c>
      <c r="B116" s="60">
        <f>Input!$D$133/Input!$D$135</f>
        <v>0.28134556574923547</v>
      </c>
      <c r="C116" s="60">
        <f>Input!$C$133/Input!$C$135</f>
        <v>0.37000614628149964</v>
      </c>
      <c r="D116" s="190"/>
      <c r="E116" s="190"/>
      <c r="H116" s="3"/>
      <c r="I116" s="1"/>
    </row>
    <row r="117" spans="1:9">
      <c r="A117" s="13" t="s">
        <v>182</v>
      </c>
      <c r="B117" s="60">
        <f>Input!$D$134/Input!$D$135</f>
        <v>0.16819571865443425</v>
      </c>
      <c r="C117" s="60">
        <f>Input!$C$134/Input!$C$135</f>
        <v>4.6097111247695138E-2</v>
      </c>
      <c r="D117" s="190"/>
      <c r="E117" s="190"/>
      <c r="H117" s="3"/>
      <c r="I117" s="1"/>
    </row>
  </sheetData>
  <protectedRanges>
    <protectedRange sqref="F25" name="Range4"/>
  </protectedRanges>
  <mergeCells count="5">
    <mergeCell ref="L26:P26"/>
    <mergeCell ref="Q26:U26"/>
    <mergeCell ref="V26:Z26"/>
    <mergeCell ref="B26:F26"/>
    <mergeCell ref="G26:K26"/>
  </mergeCells>
  <pageMargins left="0.7" right="0.7" top="0.75" bottom="0.75" header="0.3" footer="0.3"/>
  <ignoredErrors>
    <ignoredError sqref="F111" formulaRange="1"/>
  </ignoredErrors>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9"/>
  </sheetPr>
  <dimension ref="A1:AH189"/>
  <sheetViews>
    <sheetView showGridLines="0" zoomScale="70" zoomScaleNormal="70" zoomScalePageLayoutView="70" workbookViewId="0">
      <pane xSplit="2" ySplit="2" topLeftCell="C3" activePane="bottomRight" state="frozen"/>
      <selection activeCell="A5" sqref="A5"/>
      <selection pane="topRight" activeCell="A5" sqref="A5"/>
      <selection pane="bottomLeft" activeCell="A5" sqref="A5"/>
      <selection pane="bottomRight" activeCell="A2" sqref="A2"/>
    </sheetView>
  </sheetViews>
  <sheetFormatPr baseColWidth="10" defaultColWidth="16.33203125" defaultRowHeight="14.25" customHeight="1" x14ac:dyDescent="0"/>
  <cols>
    <col min="1" max="1" width="13.5" style="184" customWidth="1"/>
    <col min="2" max="2" width="36.5" style="155" customWidth="1"/>
    <col min="3" max="9" width="16.33203125" style="86"/>
    <col min="10" max="10" width="16.33203125" style="132"/>
    <col min="11" max="11" width="17.83203125" style="132" bestFit="1" customWidth="1"/>
    <col min="12" max="12" width="21.5" style="132" bestFit="1" customWidth="1"/>
    <col min="13" max="13" width="14.5" style="132" customWidth="1"/>
    <col min="14" max="20" width="16.33203125" style="132"/>
    <col min="21" max="21" width="28.5" style="132" bestFit="1" customWidth="1"/>
    <col min="22" max="16384" width="16.33203125" style="132"/>
  </cols>
  <sheetData>
    <row r="1" spans="1:34" s="173" customFormat="1" ht="20">
      <c r="A1" s="248">
        <v>532538</v>
      </c>
      <c r="B1" s="248">
        <v>2015</v>
      </c>
      <c r="C1" s="248">
        <v>40.6</v>
      </c>
      <c r="D1" s="248" t="s">
        <v>1307</v>
      </c>
      <c r="P1" s="172"/>
    </row>
    <row r="2" spans="1:34" s="157" customFormat="1" ht="42">
      <c r="A2" s="183" t="s">
        <v>2</v>
      </c>
      <c r="B2" s="156"/>
      <c r="C2" s="177" t="s">
        <v>14</v>
      </c>
      <c r="D2" s="177" t="s">
        <v>15</v>
      </c>
      <c r="E2" s="177" t="s">
        <v>211</v>
      </c>
      <c r="F2" s="177" t="s">
        <v>826</v>
      </c>
      <c r="G2" s="178" t="s">
        <v>8</v>
      </c>
      <c r="H2" s="178" t="s">
        <v>9</v>
      </c>
      <c r="I2" s="178" t="s">
        <v>10</v>
      </c>
      <c r="J2" s="178" t="s">
        <v>11</v>
      </c>
      <c r="K2" s="178" t="s">
        <v>12</v>
      </c>
      <c r="L2" s="178" t="s">
        <v>13</v>
      </c>
      <c r="M2" s="177" t="s">
        <v>1</v>
      </c>
      <c r="N2" s="177" t="s">
        <v>69</v>
      </c>
      <c r="O2" s="177" t="s">
        <v>129</v>
      </c>
      <c r="P2" s="177" t="s">
        <v>178</v>
      </c>
      <c r="Q2" s="177" t="s">
        <v>1264</v>
      </c>
      <c r="R2" s="177" t="s">
        <v>5</v>
      </c>
      <c r="S2" s="177" t="s">
        <v>6</v>
      </c>
      <c r="T2" s="177" t="s">
        <v>7</v>
      </c>
      <c r="U2" s="177" t="s">
        <v>19</v>
      </c>
      <c r="V2" s="177" t="s">
        <v>123</v>
      </c>
      <c r="W2" s="177" t="s">
        <v>138</v>
      </c>
      <c r="X2" s="177" t="s">
        <v>124</v>
      </c>
      <c r="Y2" s="177" t="s">
        <v>212</v>
      </c>
      <c r="Z2" s="177" t="s">
        <v>213</v>
      </c>
      <c r="AA2" s="177" t="s">
        <v>143</v>
      </c>
      <c r="AB2" s="177" t="s">
        <v>1272</v>
      </c>
      <c r="AC2" s="177" t="s">
        <v>827</v>
      </c>
      <c r="AD2" s="177" t="s">
        <v>1263</v>
      </c>
      <c r="AE2" s="177" t="s">
        <v>1331</v>
      </c>
      <c r="AF2" s="178" t="s">
        <v>1308</v>
      </c>
      <c r="AG2" s="178" t="s">
        <v>1309</v>
      </c>
    </row>
    <row r="3" spans="1:34" s="157" customFormat="1" ht="14.25" customHeight="1">
      <c r="A3" s="184"/>
      <c r="B3" s="158" t="s">
        <v>851</v>
      </c>
      <c r="C3" s="317" t="s">
        <v>852</v>
      </c>
      <c r="D3" s="317"/>
      <c r="E3" s="159">
        <v>14</v>
      </c>
      <c r="F3" s="161">
        <v>14</v>
      </c>
      <c r="G3" s="159" t="s">
        <v>853</v>
      </c>
      <c r="H3" s="159" t="s">
        <v>1311</v>
      </c>
      <c r="I3" s="159" t="s">
        <v>834</v>
      </c>
      <c r="J3" s="159"/>
      <c r="K3" s="159" t="s">
        <v>834</v>
      </c>
      <c r="L3" s="159"/>
      <c r="M3" s="159">
        <v>166450</v>
      </c>
      <c r="N3" s="159" t="s">
        <v>835</v>
      </c>
      <c r="O3" s="159" t="s">
        <v>835</v>
      </c>
      <c r="P3" s="160" t="s">
        <v>836</v>
      </c>
      <c r="Q3" s="161">
        <v>14</v>
      </c>
      <c r="R3" s="161">
        <v>10</v>
      </c>
      <c r="S3" s="162">
        <v>4</v>
      </c>
      <c r="T3" s="161" t="s">
        <v>197</v>
      </c>
      <c r="U3" s="163" t="s">
        <v>842</v>
      </c>
      <c r="V3" s="200"/>
      <c r="W3" s="201"/>
      <c r="X3" s="176"/>
      <c r="Y3" s="176"/>
      <c r="Z3" s="176"/>
      <c r="AA3" s="176"/>
      <c r="AB3" s="159" t="s">
        <v>1273</v>
      </c>
      <c r="AC3" s="176" t="s">
        <v>854</v>
      </c>
      <c r="AD3" s="176">
        <v>24</v>
      </c>
      <c r="AE3" s="176">
        <v>4</v>
      </c>
      <c r="AF3" s="421"/>
      <c r="AG3" s="159"/>
      <c r="AH3" s="157" t="s">
        <v>1306</v>
      </c>
    </row>
    <row r="4" spans="1:34" s="157" customFormat="1" ht="14.25" customHeight="1">
      <c r="A4" s="184"/>
      <c r="B4" s="158" t="s">
        <v>855</v>
      </c>
      <c r="C4" s="317" t="s">
        <v>852</v>
      </c>
      <c r="D4" s="317"/>
      <c r="E4" s="159">
        <v>14</v>
      </c>
      <c r="F4" s="161">
        <v>36</v>
      </c>
      <c r="G4" s="159" t="s">
        <v>853</v>
      </c>
      <c r="H4" s="159" t="s">
        <v>834</v>
      </c>
      <c r="I4" s="159"/>
      <c r="J4" s="159"/>
      <c r="K4" s="159" t="s">
        <v>834</v>
      </c>
      <c r="L4" s="159"/>
      <c r="M4" s="159">
        <v>196115</v>
      </c>
      <c r="N4" s="159" t="s">
        <v>835</v>
      </c>
      <c r="O4" s="159" t="s">
        <v>835</v>
      </c>
      <c r="P4" s="160" t="s">
        <v>838</v>
      </c>
      <c r="Q4" s="161">
        <v>13</v>
      </c>
      <c r="R4" s="161">
        <v>5</v>
      </c>
      <c r="S4" s="162">
        <v>3</v>
      </c>
      <c r="T4" s="161" t="s">
        <v>197</v>
      </c>
      <c r="U4" s="163" t="s">
        <v>856</v>
      </c>
      <c r="V4" s="200"/>
      <c r="W4" s="201"/>
      <c r="X4" s="176"/>
      <c r="Y4" s="176"/>
      <c r="Z4" s="176"/>
      <c r="AA4" s="176"/>
      <c r="AB4" s="159" t="s">
        <v>848</v>
      </c>
      <c r="AC4" s="176" t="s">
        <v>857</v>
      </c>
      <c r="AD4" s="176">
        <v>23</v>
      </c>
      <c r="AE4" s="176">
        <v>5</v>
      </c>
      <c r="AF4" s="421"/>
      <c r="AG4" s="159"/>
      <c r="AH4" s="157" t="s">
        <v>1307</v>
      </c>
    </row>
    <row r="5" spans="1:34" s="157" customFormat="1" ht="14.25" customHeight="1">
      <c r="A5" s="184"/>
      <c r="B5" s="158" t="s">
        <v>858</v>
      </c>
      <c r="C5" s="317" t="s">
        <v>859</v>
      </c>
      <c r="D5" s="317"/>
      <c r="E5" s="159">
        <v>21</v>
      </c>
      <c r="F5" s="161">
        <v>21</v>
      </c>
      <c r="G5" s="159" t="s">
        <v>832</v>
      </c>
      <c r="H5" s="159" t="s">
        <v>834</v>
      </c>
      <c r="I5" s="159" t="s">
        <v>833</v>
      </c>
      <c r="J5" s="159"/>
      <c r="K5" s="159" t="s">
        <v>833</v>
      </c>
      <c r="L5" s="159"/>
      <c r="M5" s="159">
        <v>110150</v>
      </c>
      <c r="N5" s="159" t="s">
        <v>835</v>
      </c>
      <c r="O5" s="159" t="s">
        <v>835</v>
      </c>
      <c r="P5" s="160" t="s">
        <v>836</v>
      </c>
      <c r="Q5" s="161">
        <v>4</v>
      </c>
      <c r="R5" s="161">
        <v>2</v>
      </c>
      <c r="S5" s="162">
        <v>1</v>
      </c>
      <c r="T5" s="161" t="s">
        <v>204</v>
      </c>
      <c r="U5" s="161" t="s">
        <v>860</v>
      </c>
      <c r="V5" s="200"/>
      <c r="W5" s="201"/>
      <c r="X5" s="176"/>
      <c r="Y5" s="176"/>
      <c r="Z5" s="176"/>
      <c r="AA5" s="176"/>
      <c r="AB5" s="159" t="s">
        <v>835</v>
      </c>
      <c r="AC5" s="176"/>
      <c r="AD5" s="176">
        <v>15</v>
      </c>
      <c r="AE5" s="176">
        <v>6</v>
      </c>
      <c r="AF5" s="421"/>
      <c r="AG5" s="159"/>
    </row>
    <row r="6" spans="1:34" s="157" customFormat="1" ht="14.25" customHeight="1">
      <c r="A6" s="184"/>
      <c r="B6" s="158" t="s">
        <v>861</v>
      </c>
      <c r="C6" s="317" t="s">
        <v>862</v>
      </c>
      <c r="D6" s="317"/>
      <c r="E6" s="159">
        <v>27</v>
      </c>
      <c r="F6" s="161">
        <v>27</v>
      </c>
      <c r="G6" s="159" t="s">
        <v>832</v>
      </c>
      <c r="H6" s="159" t="s">
        <v>834</v>
      </c>
      <c r="I6" s="159" t="s">
        <v>834</v>
      </c>
      <c r="J6" s="159" t="s">
        <v>833</v>
      </c>
      <c r="K6" s="159"/>
      <c r="L6" s="159"/>
      <c r="M6" s="159">
        <v>165000000</v>
      </c>
      <c r="N6" s="159" t="s">
        <v>835</v>
      </c>
      <c r="O6" s="159" t="s">
        <v>835</v>
      </c>
      <c r="P6" s="160" t="s">
        <v>863</v>
      </c>
      <c r="Q6" s="161">
        <v>3</v>
      </c>
      <c r="R6" s="161">
        <v>4</v>
      </c>
      <c r="S6" s="162">
        <v>2</v>
      </c>
      <c r="T6" s="161" t="s">
        <v>199</v>
      </c>
      <c r="U6" s="161" t="s">
        <v>864</v>
      </c>
      <c r="V6" s="200"/>
      <c r="W6" s="201"/>
      <c r="X6" s="176"/>
      <c r="Y6" s="176"/>
      <c r="Z6" s="176"/>
      <c r="AA6" s="176"/>
      <c r="AB6" s="159" t="s">
        <v>1273</v>
      </c>
      <c r="AC6" s="176"/>
      <c r="AD6" s="176">
        <v>22</v>
      </c>
      <c r="AE6" s="176">
        <v>3</v>
      </c>
      <c r="AF6" s="421"/>
      <c r="AG6" s="159"/>
    </row>
    <row r="7" spans="1:34" s="157" customFormat="1" ht="14.25" customHeight="1">
      <c r="A7" s="184"/>
      <c r="B7" s="158" t="s">
        <v>865</v>
      </c>
      <c r="C7" s="317" t="s">
        <v>862</v>
      </c>
      <c r="D7" s="317"/>
      <c r="E7" s="159">
        <v>27</v>
      </c>
      <c r="F7" s="161">
        <v>27</v>
      </c>
      <c r="G7" s="159" t="s">
        <v>832</v>
      </c>
      <c r="H7" s="159" t="s">
        <v>834</v>
      </c>
      <c r="I7" s="159" t="s">
        <v>834</v>
      </c>
      <c r="J7" s="159"/>
      <c r="K7" s="159"/>
      <c r="L7" s="159"/>
      <c r="M7" s="159">
        <v>36500</v>
      </c>
      <c r="N7" s="159" t="s">
        <v>835</v>
      </c>
      <c r="O7" s="159" t="s">
        <v>835</v>
      </c>
      <c r="P7" s="160" t="s">
        <v>836</v>
      </c>
      <c r="Q7" s="161">
        <v>5</v>
      </c>
      <c r="R7" s="161">
        <v>6</v>
      </c>
      <c r="S7" s="162">
        <v>3</v>
      </c>
      <c r="T7" s="161" t="s">
        <v>202</v>
      </c>
      <c r="U7" s="161" t="s">
        <v>866</v>
      </c>
      <c r="V7" s="200"/>
      <c r="W7" s="201"/>
      <c r="X7" s="176"/>
      <c r="Y7" s="176"/>
      <c r="Z7" s="176"/>
      <c r="AA7" s="176"/>
      <c r="AB7" s="159" t="s">
        <v>848</v>
      </c>
      <c r="AC7" s="176"/>
      <c r="AD7" s="176">
        <v>4</v>
      </c>
      <c r="AE7" s="176">
        <v>2</v>
      </c>
      <c r="AF7" s="421"/>
      <c r="AG7" s="159"/>
    </row>
    <row r="8" spans="1:34" s="157" customFormat="1" ht="14.25" customHeight="1">
      <c r="A8" s="184"/>
      <c r="B8" s="158" t="s">
        <v>867</v>
      </c>
      <c r="C8" s="317" t="s">
        <v>868</v>
      </c>
      <c r="D8" s="317"/>
      <c r="E8" s="159">
        <v>10</v>
      </c>
      <c r="F8" s="161">
        <v>22</v>
      </c>
      <c r="G8" s="159" t="s">
        <v>832</v>
      </c>
      <c r="H8" s="159" t="s">
        <v>834</v>
      </c>
      <c r="I8" s="159"/>
      <c r="J8" s="159" t="s">
        <v>834</v>
      </c>
      <c r="K8" s="159"/>
      <c r="L8" s="159"/>
      <c r="M8" s="159">
        <v>195525</v>
      </c>
      <c r="N8" s="159" t="s">
        <v>835</v>
      </c>
      <c r="O8" s="159" t="s">
        <v>835</v>
      </c>
      <c r="P8" s="160" t="s">
        <v>836</v>
      </c>
      <c r="Q8" s="161">
        <v>5</v>
      </c>
      <c r="R8" s="161">
        <v>1</v>
      </c>
      <c r="S8" s="162">
        <v>0</v>
      </c>
      <c r="T8" s="161" t="s">
        <v>204</v>
      </c>
      <c r="U8" s="161" t="s">
        <v>869</v>
      </c>
      <c r="V8" s="200"/>
      <c r="W8" s="201"/>
      <c r="X8" s="176"/>
      <c r="Y8" s="176"/>
      <c r="Z8" s="176"/>
      <c r="AA8" s="176"/>
      <c r="AB8" s="159" t="s">
        <v>1273</v>
      </c>
      <c r="AC8" s="176"/>
      <c r="AD8" s="176">
        <v>23</v>
      </c>
      <c r="AE8" s="176">
        <v>6</v>
      </c>
      <c r="AF8" s="421"/>
      <c r="AG8" s="159"/>
    </row>
    <row r="9" spans="1:34" s="157" customFormat="1" ht="14.25" customHeight="1">
      <c r="A9" s="184"/>
      <c r="B9" s="158" t="s">
        <v>870</v>
      </c>
      <c r="C9" s="317" t="s">
        <v>871</v>
      </c>
      <c r="D9" s="317"/>
      <c r="E9" s="159">
        <v>4</v>
      </c>
      <c r="F9" s="161">
        <v>4</v>
      </c>
      <c r="G9" s="159" t="s">
        <v>832</v>
      </c>
      <c r="H9" s="159" t="s">
        <v>834</v>
      </c>
      <c r="I9" s="159"/>
      <c r="J9" s="159" t="s">
        <v>834</v>
      </c>
      <c r="K9" s="159"/>
      <c r="L9" s="159"/>
      <c r="M9" s="159">
        <v>65000</v>
      </c>
      <c r="N9" s="159" t="s">
        <v>835</v>
      </c>
      <c r="O9" s="159" t="s">
        <v>835</v>
      </c>
      <c r="P9" s="160" t="s">
        <v>838</v>
      </c>
      <c r="Q9" s="161">
        <v>11</v>
      </c>
      <c r="R9" s="161">
        <v>5</v>
      </c>
      <c r="S9" s="162">
        <v>1</v>
      </c>
      <c r="T9" s="161" t="s">
        <v>203</v>
      </c>
      <c r="U9" s="161" t="s">
        <v>872</v>
      </c>
      <c r="V9" s="200"/>
      <c r="W9" s="201"/>
      <c r="X9" s="176"/>
      <c r="Y9" s="176"/>
      <c r="Z9" s="176"/>
      <c r="AA9" s="176"/>
      <c r="AB9" s="159" t="s">
        <v>848</v>
      </c>
      <c r="AC9" s="176"/>
      <c r="AD9" s="176">
        <v>12</v>
      </c>
      <c r="AE9" s="176">
        <v>8</v>
      </c>
      <c r="AF9" s="421"/>
      <c r="AG9" s="159"/>
    </row>
    <row r="10" spans="1:34" s="157" customFormat="1" ht="14.25" customHeight="1">
      <c r="A10" s="184"/>
      <c r="B10" s="158" t="s">
        <v>873</v>
      </c>
      <c r="C10" s="317" t="s">
        <v>871</v>
      </c>
      <c r="D10" s="317"/>
      <c r="E10" s="159">
        <v>4</v>
      </c>
      <c r="F10" s="161">
        <v>24</v>
      </c>
      <c r="G10" s="159" t="s">
        <v>840</v>
      </c>
      <c r="H10" s="159" t="s">
        <v>834</v>
      </c>
      <c r="I10" s="159"/>
      <c r="J10" s="159"/>
      <c r="K10" s="159"/>
      <c r="L10" s="159"/>
      <c r="M10" s="159">
        <v>147973</v>
      </c>
      <c r="N10" s="159" t="s">
        <v>835</v>
      </c>
      <c r="O10" s="159" t="s">
        <v>835</v>
      </c>
      <c r="P10" s="160" t="s">
        <v>836</v>
      </c>
      <c r="Q10" s="161">
        <v>1</v>
      </c>
      <c r="R10" s="161">
        <v>0</v>
      </c>
      <c r="S10" s="162">
        <v>0</v>
      </c>
      <c r="T10" s="161" t="s">
        <v>205</v>
      </c>
      <c r="U10" s="161" t="s">
        <v>842</v>
      </c>
      <c r="V10" s="200"/>
      <c r="W10" s="201"/>
      <c r="X10" s="176"/>
      <c r="Y10" s="176"/>
      <c r="Z10" s="176"/>
      <c r="AA10" s="176"/>
      <c r="AB10" s="159" t="s">
        <v>848</v>
      </c>
      <c r="AC10" s="176"/>
      <c r="AD10" s="176">
        <v>13</v>
      </c>
      <c r="AE10" s="176">
        <v>6</v>
      </c>
      <c r="AF10" s="421"/>
      <c r="AG10" s="159"/>
    </row>
    <row r="11" spans="1:34" s="157" customFormat="1" ht="14.25" customHeight="1">
      <c r="A11" s="184"/>
      <c r="B11" s="158" t="s">
        <v>874</v>
      </c>
      <c r="C11" s="317" t="s">
        <v>875</v>
      </c>
      <c r="D11" s="317"/>
      <c r="E11" s="159">
        <v>21</v>
      </c>
      <c r="F11" s="161">
        <v>18</v>
      </c>
      <c r="G11" s="159" t="s">
        <v>840</v>
      </c>
      <c r="H11" s="159" t="s">
        <v>839</v>
      </c>
      <c r="I11" s="159"/>
      <c r="J11" s="159" t="s">
        <v>834</v>
      </c>
      <c r="K11" s="159"/>
      <c r="L11" s="159"/>
      <c r="M11" s="159">
        <v>281863</v>
      </c>
      <c r="N11" s="159" t="s">
        <v>835</v>
      </c>
      <c r="O11" s="159" t="s">
        <v>835</v>
      </c>
      <c r="P11" s="160" t="s">
        <v>836</v>
      </c>
      <c r="Q11" s="161">
        <v>3</v>
      </c>
      <c r="R11" s="161">
        <v>3</v>
      </c>
      <c r="S11" s="162">
        <v>1</v>
      </c>
      <c r="T11" s="161" t="s">
        <v>204</v>
      </c>
      <c r="U11" s="161" t="s">
        <v>842</v>
      </c>
      <c r="V11" s="200"/>
      <c r="W11" s="201"/>
      <c r="X11" s="176"/>
      <c r="Y11" s="176"/>
      <c r="Z11" s="176"/>
      <c r="AA11" s="176"/>
      <c r="AB11" s="159" t="s">
        <v>835</v>
      </c>
      <c r="AC11" s="176"/>
      <c r="AD11" s="176">
        <v>12</v>
      </c>
      <c r="AE11" s="176">
        <v>9</v>
      </c>
      <c r="AF11" s="421"/>
      <c r="AG11" s="159"/>
    </row>
    <row r="12" spans="1:34" s="157" customFormat="1" ht="14.25" customHeight="1">
      <c r="A12" s="184"/>
      <c r="B12" s="158"/>
      <c r="C12" s="317"/>
      <c r="D12" s="317"/>
      <c r="E12" s="159"/>
      <c r="F12" s="161"/>
      <c r="G12" s="159"/>
      <c r="H12" s="159"/>
      <c r="I12" s="159"/>
      <c r="J12" s="159"/>
      <c r="K12" s="159"/>
      <c r="L12" s="159"/>
      <c r="M12" s="159"/>
      <c r="N12" s="159"/>
      <c r="O12" s="159" t="s">
        <v>835</v>
      </c>
      <c r="P12" s="160"/>
      <c r="Q12" s="161"/>
      <c r="R12" s="161"/>
      <c r="S12" s="162"/>
      <c r="T12" s="161"/>
      <c r="U12" s="161"/>
      <c r="V12" s="200"/>
      <c r="W12" s="201"/>
      <c r="X12" s="176"/>
      <c r="Y12" s="176"/>
      <c r="Z12" s="176"/>
      <c r="AA12" s="176"/>
      <c r="AB12" s="159"/>
      <c r="AC12" s="176"/>
      <c r="AD12" s="176"/>
      <c r="AE12" s="176"/>
      <c r="AF12" s="421"/>
      <c r="AG12" s="159"/>
    </row>
    <row r="13" spans="1:34" s="157" customFormat="1" ht="14.25" customHeight="1">
      <c r="A13" s="184"/>
      <c r="B13" s="158"/>
      <c r="C13" s="317"/>
      <c r="D13" s="317"/>
      <c r="E13" s="159"/>
      <c r="F13" s="161"/>
      <c r="G13" s="159"/>
      <c r="H13" s="159"/>
      <c r="I13" s="159"/>
      <c r="J13" s="159"/>
      <c r="K13" s="159"/>
      <c r="L13" s="159"/>
      <c r="M13" s="161"/>
      <c r="N13" s="159"/>
      <c r="O13" s="159" t="s">
        <v>835</v>
      </c>
      <c r="P13" s="160"/>
      <c r="Q13" s="161"/>
      <c r="R13" s="161"/>
      <c r="S13" s="162"/>
      <c r="T13" s="161"/>
      <c r="U13" s="161"/>
      <c r="V13" s="200"/>
      <c r="W13" s="201"/>
      <c r="X13" s="176"/>
      <c r="Y13" s="176"/>
      <c r="Z13" s="176"/>
      <c r="AA13" s="176"/>
      <c r="AB13" s="159"/>
      <c r="AC13" s="176"/>
      <c r="AD13" s="176"/>
      <c r="AE13" s="176"/>
      <c r="AF13" s="159"/>
      <c r="AG13" s="159"/>
    </row>
    <row r="14" spans="1:34" s="157" customFormat="1" ht="14.25" customHeight="1">
      <c r="A14" s="184"/>
      <c r="B14" s="158"/>
      <c r="C14" s="317"/>
      <c r="D14" s="317"/>
      <c r="E14" s="159"/>
      <c r="F14" s="161"/>
      <c r="G14" s="159"/>
      <c r="H14" s="159"/>
      <c r="I14" s="159"/>
      <c r="J14" s="159"/>
      <c r="K14" s="159"/>
      <c r="L14" s="159"/>
      <c r="M14" s="161"/>
      <c r="N14" s="159"/>
      <c r="O14" s="159" t="s">
        <v>835</v>
      </c>
      <c r="P14" s="160"/>
      <c r="Q14" s="161"/>
      <c r="R14" s="161"/>
      <c r="S14" s="162"/>
      <c r="T14" s="161"/>
      <c r="U14" s="161"/>
      <c r="V14" s="200"/>
      <c r="W14" s="201"/>
      <c r="X14" s="176"/>
      <c r="Y14" s="176"/>
      <c r="Z14" s="176"/>
      <c r="AA14" s="176"/>
      <c r="AB14" s="159"/>
      <c r="AC14" s="176"/>
      <c r="AD14" s="176"/>
      <c r="AE14" s="176"/>
      <c r="AF14" s="159"/>
      <c r="AG14" s="159"/>
    </row>
    <row r="15" spans="1:34" s="157" customFormat="1" ht="14.25" customHeight="1">
      <c r="A15" s="184"/>
      <c r="B15" s="158"/>
      <c r="C15" s="317"/>
      <c r="D15" s="317"/>
      <c r="E15" s="159"/>
      <c r="F15" s="161"/>
      <c r="G15" s="159"/>
      <c r="H15" s="159"/>
      <c r="I15" s="159"/>
      <c r="J15" s="159"/>
      <c r="K15" s="159"/>
      <c r="L15" s="159"/>
      <c r="M15" s="159"/>
      <c r="N15" s="159"/>
      <c r="O15" s="159" t="s">
        <v>835</v>
      </c>
      <c r="P15" s="160"/>
      <c r="Q15" s="161"/>
      <c r="R15" s="161"/>
      <c r="S15" s="162"/>
      <c r="T15" s="161"/>
      <c r="U15" s="161"/>
      <c r="V15" s="200"/>
      <c r="W15" s="201"/>
      <c r="X15" s="176"/>
      <c r="Y15" s="176"/>
      <c r="Z15" s="176"/>
      <c r="AA15" s="176"/>
      <c r="AB15" s="159"/>
      <c r="AC15" s="176"/>
      <c r="AD15" s="176"/>
      <c r="AE15" s="176"/>
      <c r="AF15" s="159"/>
      <c r="AG15" s="159"/>
    </row>
    <row r="16" spans="1:34" s="157" customFormat="1" ht="14.25" customHeight="1">
      <c r="A16" s="184"/>
      <c r="B16" s="158"/>
      <c r="C16" s="317"/>
      <c r="D16" s="317"/>
      <c r="E16" s="159"/>
      <c r="F16" s="161"/>
      <c r="G16" s="164"/>
      <c r="H16" s="159"/>
      <c r="I16" s="159"/>
      <c r="J16" s="159"/>
      <c r="K16" s="159"/>
      <c r="L16" s="159"/>
      <c r="M16" s="161"/>
      <c r="N16" s="159"/>
      <c r="O16" s="159" t="s">
        <v>835</v>
      </c>
      <c r="P16" s="161"/>
      <c r="Q16" s="161"/>
      <c r="R16" s="161"/>
      <c r="S16" s="162"/>
      <c r="T16" s="161"/>
      <c r="U16" s="161"/>
      <c r="V16" s="200"/>
      <c r="W16" s="201"/>
      <c r="X16" s="176"/>
      <c r="Y16" s="176"/>
      <c r="Z16" s="176"/>
      <c r="AA16" s="176"/>
      <c r="AB16" s="159"/>
      <c r="AC16" s="176"/>
      <c r="AD16" s="176"/>
      <c r="AE16" s="176"/>
      <c r="AF16" s="159"/>
      <c r="AG16" s="159"/>
    </row>
    <row r="17" spans="1:33" s="157" customFormat="1" ht="14.25" customHeight="1">
      <c r="A17" s="184"/>
      <c r="B17" s="158"/>
      <c r="C17" s="317"/>
      <c r="D17" s="317"/>
      <c r="E17" s="159"/>
      <c r="F17" s="161"/>
      <c r="G17" s="164"/>
      <c r="H17" s="159"/>
      <c r="I17" s="159"/>
      <c r="J17" s="159"/>
      <c r="K17" s="159"/>
      <c r="L17" s="159"/>
      <c r="M17" s="161"/>
      <c r="N17" s="159"/>
      <c r="O17" s="159" t="s">
        <v>835</v>
      </c>
      <c r="P17" s="161"/>
      <c r="Q17" s="161"/>
      <c r="R17" s="161"/>
      <c r="S17" s="162"/>
      <c r="T17" s="161"/>
      <c r="U17" s="161"/>
      <c r="V17" s="200"/>
      <c r="W17" s="201"/>
      <c r="X17" s="176"/>
      <c r="Y17" s="176"/>
      <c r="Z17" s="176"/>
      <c r="AA17" s="176"/>
      <c r="AB17" s="159"/>
      <c r="AC17" s="176"/>
      <c r="AD17" s="176"/>
      <c r="AE17" s="176"/>
      <c r="AF17" s="159"/>
      <c r="AG17" s="159"/>
    </row>
    <row r="18" spans="1:33" s="157" customFormat="1" ht="14.25" customHeight="1">
      <c r="A18" s="184"/>
      <c r="B18" s="158"/>
      <c r="C18" s="317"/>
      <c r="D18" s="317"/>
      <c r="E18" s="159"/>
      <c r="F18" s="161"/>
      <c r="G18" s="164"/>
      <c r="H18" s="159"/>
      <c r="I18" s="159"/>
      <c r="J18" s="159"/>
      <c r="K18" s="159"/>
      <c r="L18" s="159"/>
      <c r="M18" s="161"/>
      <c r="N18" s="159"/>
      <c r="O18" s="159" t="s">
        <v>835</v>
      </c>
      <c r="P18" s="161"/>
      <c r="Q18" s="161"/>
      <c r="R18" s="161"/>
      <c r="S18" s="162"/>
      <c r="T18" s="161"/>
      <c r="U18" s="161"/>
      <c r="V18" s="200"/>
      <c r="W18" s="201"/>
      <c r="X18" s="176"/>
      <c r="Y18" s="176"/>
      <c r="Z18" s="176"/>
      <c r="AA18" s="176"/>
      <c r="AB18" s="159"/>
      <c r="AC18" s="176"/>
      <c r="AD18" s="176"/>
      <c r="AE18" s="176"/>
      <c r="AF18" s="159"/>
      <c r="AG18" s="159"/>
    </row>
    <row r="19" spans="1:33" s="157" customFormat="1" ht="14.25" customHeight="1">
      <c r="A19" s="184"/>
      <c r="B19" s="158"/>
      <c r="C19" s="317"/>
      <c r="D19" s="317"/>
      <c r="E19" s="159"/>
      <c r="F19" s="161"/>
      <c r="G19" s="164"/>
      <c r="H19" s="159"/>
      <c r="I19" s="159"/>
      <c r="J19" s="159"/>
      <c r="K19" s="159"/>
      <c r="L19" s="159"/>
      <c r="M19" s="161"/>
      <c r="N19" s="159"/>
      <c r="O19" s="159" t="s">
        <v>835</v>
      </c>
      <c r="P19" s="161"/>
      <c r="Q19" s="161"/>
      <c r="R19" s="161"/>
      <c r="S19" s="162"/>
      <c r="T19" s="161"/>
      <c r="U19" s="161"/>
      <c r="V19" s="200"/>
      <c r="W19" s="201"/>
      <c r="X19" s="176"/>
      <c r="Y19" s="176"/>
      <c r="Z19" s="176"/>
      <c r="AA19" s="176"/>
      <c r="AB19" s="159"/>
      <c r="AC19" s="176"/>
      <c r="AD19" s="176"/>
      <c r="AE19" s="176"/>
      <c r="AF19" s="159"/>
      <c r="AG19" s="159"/>
    </row>
    <row r="20" spans="1:33" s="157" customFormat="1" ht="14.25" customHeight="1">
      <c r="A20" s="184"/>
      <c r="B20" s="158"/>
      <c r="C20" s="317"/>
      <c r="D20" s="317"/>
      <c r="E20" s="159"/>
      <c r="F20" s="161"/>
      <c r="G20" s="164"/>
      <c r="H20" s="159"/>
      <c r="I20" s="159"/>
      <c r="J20" s="159"/>
      <c r="K20" s="159"/>
      <c r="L20" s="159"/>
      <c r="M20" s="161"/>
      <c r="N20" s="159"/>
      <c r="O20" s="159" t="s">
        <v>835</v>
      </c>
      <c r="P20" s="161"/>
      <c r="Q20" s="161"/>
      <c r="R20" s="161"/>
      <c r="S20" s="162"/>
      <c r="T20" s="161"/>
      <c r="U20" s="161"/>
      <c r="V20" s="200"/>
      <c r="W20" s="201"/>
      <c r="X20" s="176"/>
      <c r="Y20" s="176"/>
      <c r="Z20" s="176"/>
      <c r="AA20" s="176"/>
      <c r="AB20" s="159"/>
      <c r="AC20" s="176"/>
      <c r="AD20" s="176"/>
      <c r="AE20" s="176"/>
      <c r="AF20" s="159"/>
      <c r="AG20" s="159"/>
    </row>
    <row r="21" spans="1:33" s="157" customFormat="1" ht="14.25" customHeight="1">
      <c r="A21" s="184"/>
      <c r="B21" s="158"/>
      <c r="C21" s="317"/>
      <c r="D21" s="317"/>
      <c r="E21" s="159"/>
      <c r="F21" s="161"/>
      <c r="G21" s="164"/>
      <c r="H21" s="159"/>
      <c r="I21" s="159"/>
      <c r="J21" s="159"/>
      <c r="K21" s="159"/>
      <c r="L21" s="159"/>
      <c r="M21" s="161"/>
      <c r="N21" s="159"/>
      <c r="O21" s="159" t="s">
        <v>835</v>
      </c>
      <c r="P21" s="161"/>
      <c r="Q21" s="161"/>
      <c r="R21" s="161"/>
      <c r="S21" s="162"/>
      <c r="T21" s="161"/>
      <c r="U21" s="161"/>
      <c r="V21" s="200"/>
      <c r="W21" s="201"/>
      <c r="X21" s="176"/>
      <c r="Y21" s="176"/>
      <c r="Z21" s="176"/>
      <c r="AA21" s="176"/>
      <c r="AB21" s="159"/>
      <c r="AC21" s="176"/>
      <c r="AD21" s="176"/>
      <c r="AE21" s="176"/>
      <c r="AF21" s="159"/>
      <c r="AG21" s="159"/>
    </row>
    <row r="22" spans="1:33" s="157" customFormat="1" ht="14.25" customHeight="1">
      <c r="A22" s="184"/>
      <c r="B22" s="158"/>
      <c r="C22" s="317"/>
      <c r="D22" s="317"/>
      <c r="E22" s="159"/>
      <c r="F22" s="161"/>
      <c r="G22" s="164"/>
      <c r="H22" s="159"/>
      <c r="I22" s="159"/>
      <c r="J22" s="159"/>
      <c r="K22" s="159"/>
      <c r="L22" s="159"/>
      <c r="M22" s="161"/>
      <c r="N22" s="159"/>
      <c r="O22" s="159" t="s">
        <v>835</v>
      </c>
      <c r="P22" s="161"/>
      <c r="Q22" s="161"/>
      <c r="R22" s="161"/>
      <c r="S22" s="162"/>
      <c r="T22" s="161"/>
      <c r="U22" s="161"/>
      <c r="V22" s="200"/>
      <c r="W22" s="201"/>
      <c r="X22" s="176"/>
      <c r="Y22" s="176"/>
      <c r="Z22" s="176"/>
      <c r="AA22" s="176"/>
      <c r="AB22" s="159"/>
      <c r="AC22" s="176"/>
      <c r="AD22" s="176"/>
      <c r="AE22" s="176"/>
      <c r="AF22" s="159"/>
      <c r="AG22" s="159"/>
    </row>
    <row r="23" spans="1:33" ht="28">
      <c r="A23" s="183" t="s">
        <v>3</v>
      </c>
      <c r="B23" s="156"/>
      <c r="C23" s="168" t="s">
        <v>1321</v>
      </c>
      <c r="D23" s="168" t="s">
        <v>1322</v>
      </c>
      <c r="E23" s="168" t="s">
        <v>876</v>
      </c>
      <c r="F23" s="168" t="s">
        <v>877</v>
      </c>
      <c r="G23" s="168" t="s">
        <v>28</v>
      </c>
      <c r="H23" s="168" t="s">
        <v>29</v>
      </c>
      <c r="I23" s="168" t="s">
        <v>30</v>
      </c>
      <c r="J23" s="168" t="s">
        <v>31</v>
      </c>
      <c r="K23" s="168" t="s">
        <v>32</v>
      </c>
      <c r="L23" s="168" t="s">
        <v>33</v>
      </c>
      <c r="M23" s="168" t="s">
        <v>34</v>
      </c>
      <c r="N23" s="168" t="s">
        <v>35</v>
      </c>
      <c r="O23" s="168" t="s">
        <v>36</v>
      </c>
      <c r="P23" s="168" t="s">
        <v>37</v>
      </c>
    </row>
    <row r="24" spans="1:33" ht="14.25" customHeight="1">
      <c r="B24" s="156" t="str">
        <f t="array" ref="B24:B43">IF(Director_Classification&lt;&gt;"",B3:B22,"")</f>
        <v>Keki M.Mistry</v>
      </c>
      <c r="C24" s="406">
        <v>0</v>
      </c>
      <c r="D24" s="406">
        <v>1.35E-2</v>
      </c>
      <c r="E24" s="165">
        <v>0</v>
      </c>
      <c r="F24" s="165">
        <v>1.6500000000000001E-2</v>
      </c>
      <c r="G24" s="165">
        <v>0</v>
      </c>
      <c r="H24" s="165">
        <v>1.4999999999999999E-2</v>
      </c>
      <c r="I24" s="165">
        <v>0</v>
      </c>
      <c r="J24" s="165">
        <v>1.4E-2</v>
      </c>
      <c r="K24" s="165">
        <v>0</v>
      </c>
      <c r="L24" s="165">
        <v>0.01</v>
      </c>
      <c r="M24" s="179"/>
      <c r="N24" s="179"/>
      <c r="O24" s="179"/>
      <c r="P24" s="179"/>
    </row>
    <row r="25" spans="1:33" ht="14.25" customHeight="1">
      <c r="A25" s="185"/>
      <c r="B25" s="156" t="str">
        <v>Renu Sud Karnad</v>
      </c>
      <c r="C25" s="406">
        <v>0</v>
      </c>
      <c r="D25" s="406">
        <v>4.4999999999999997E-3</v>
      </c>
      <c r="E25" s="165">
        <v>0</v>
      </c>
      <c r="F25" s="165">
        <v>8.9999999999999993E-3</v>
      </c>
      <c r="G25" s="165">
        <v>0</v>
      </c>
      <c r="H25" s="165">
        <v>7.4999999999999997E-3</v>
      </c>
      <c r="I25" s="165">
        <v>0</v>
      </c>
      <c r="J25" s="165">
        <v>7.0000000000000001E-3</v>
      </c>
      <c r="K25" s="165">
        <v>0</v>
      </c>
      <c r="L25" s="165">
        <v>5.0000000000000001E-3</v>
      </c>
      <c r="M25" s="179"/>
      <c r="N25" s="179"/>
      <c r="O25" s="179"/>
      <c r="P25" s="179"/>
    </row>
    <row r="26" spans="1:33" ht="14.25" customHeight="1">
      <c r="A26" s="185"/>
      <c r="B26" s="156" t="str">
        <v>S.M Palia</v>
      </c>
      <c r="C26" s="165">
        <v>0</v>
      </c>
      <c r="D26" s="165">
        <v>1.35E-2</v>
      </c>
      <c r="E26" s="165">
        <v>0</v>
      </c>
      <c r="F26" s="165">
        <v>1.6500000000000001E-2</v>
      </c>
      <c r="G26" s="165">
        <v>0</v>
      </c>
      <c r="H26" s="165">
        <v>1.4999999999999999E-2</v>
      </c>
      <c r="I26" s="165">
        <v>0</v>
      </c>
      <c r="J26" s="165">
        <v>1.4999999999999999E-2</v>
      </c>
      <c r="K26" s="165">
        <v>0</v>
      </c>
      <c r="L26" s="165">
        <v>0.01</v>
      </c>
      <c r="M26" s="179"/>
      <c r="N26" s="179"/>
      <c r="O26" s="179"/>
      <c r="P26" s="179"/>
    </row>
    <row r="27" spans="1:33" ht="14.25" customHeight="1">
      <c r="A27" s="185"/>
      <c r="B27" s="156" t="str">
        <v>Rohit C. Mehta</v>
      </c>
      <c r="C27" s="165">
        <v>0</v>
      </c>
      <c r="D27" s="165">
        <v>1.6500000000000001E-2</v>
      </c>
      <c r="E27" s="165">
        <v>0</v>
      </c>
      <c r="F27" s="165">
        <v>1.4999999999999999E-2</v>
      </c>
      <c r="G27" s="165">
        <v>0</v>
      </c>
      <c r="H27" s="165">
        <v>1.4999999999999999E-2</v>
      </c>
      <c r="I27" s="165">
        <v>0</v>
      </c>
      <c r="J27" s="165">
        <v>1.7500000000000002E-2</v>
      </c>
      <c r="K27" s="165">
        <v>0</v>
      </c>
      <c r="L27" s="165">
        <v>8.9999999999999993E-3</v>
      </c>
      <c r="M27" s="179"/>
      <c r="N27" s="179"/>
      <c r="O27" s="179"/>
      <c r="P27" s="179"/>
    </row>
    <row r="28" spans="1:33" ht="14.25" customHeight="1">
      <c r="A28" s="185"/>
      <c r="B28" s="156" t="str">
        <v>Prafull Anubhai</v>
      </c>
      <c r="C28" s="165">
        <v>0</v>
      </c>
      <c r="D28" s="165">
        <v>1.2E-2</v>
      </c>
      <c r="E28" s="165">
        <v>0</v>
      </c>
      <c r="F28" s="165">
        <v>1.4999999999999999E-2</v>
      </c>
      <c r="G28" s="165">
        <v>0</v>
      </c>
      <c r="H28" s="165">
        <v>1.35E-2</v>
      </c>
      <c r="I28" s="165">
        <v>0</v>
      </c>
      <c r="J28" s="165">
        <v>1.4E-2</v>
      </c>
      <c r="K28" s="165">
        <v>0</v>
      </c>
      <c r="L28" s="165">
        <v>1.2999999999999999E-2</v>
      </c>
      <c r="M28" s="179"/>
      <c r="N28" s="179"/>
      <c r="O28" s="179"/>
      <c r="P28" s="179"/>
    </row>
    <row r="29" spans="1:33" ht="14.25" customHeight="1">
      <c r="A29" s="185"/>
      <c r="B29" s="156" t="str">
        <v>K.G Krishnamurty</v>
      </c>
      <c r="C29" s="165">
        <v>0</v>
      </c>
      <c r="D29" s="165">
        <v>7.4999999999999997E-3</v>
      </c>
      <c r="E29" s="165">
        <v>0</v>
      </c>
      <c r="F29" s="165">
        <v>6.0000000000000001E-3</v>
      </c>
      <c r="G29" s="165">
        <v>0</v>
      </c>
      <c r="H29" s="165">
        <v>6.0000000000000001E-3</v>
      </c>
      <c r="I29" s="165">
        <v>0</v>
      </c>
      <c r="J29" s="165">
        <v>1.2E-2</v>
      </c>
      <c r="K29" s="165">
        <v>0</v>
      </c>
      <c r="L29" s="165">
        <v>5.0000000000000001E-3</v>
      </c>
      <c r="M29" s="179"/>
      <c r="N29" s="179"/>
      <c r="O29" s="179"/>
      <c r="P29" s="179"/>
    </row>
    <row r="30" spans="1:33" ht="14.25" customHeight="1">
      <c r="A30" s="312" t="s">
        <v>823</v>
      </c>
      <c r="B30" s="156" t="str">
        <v>S.G Mankad</v>
      </c>
      <c r="C30" s="165">
        <v>0</v>
      </c>
      <c r="D30" s="165">
        <v>1.35E-2</v>
      </c>
      <c r="E30" s="165">
        <v>0</v>
      </c>
      <c r="F30" s="165">
        <v>1.0500000000000001E-2</v>
      </c>
      <c r="G30" s="165">
        <v>0</v>
      </c>
      <c r="H30" s="165">
        <v>1.2E-2</v>
      </c>
      <c r="I30" s="165">
        <v>0</v>
      </c>
      <c r="J30" s="165">
        <v>8.9999999999999993E-3</v>
      </c>
      <c r="K30" s="165">
        <v>0</v>
      </c>
      <c r="L30" s="165">
        <v>1E-3</v>
      </c>
      <c r="M30" s="179"/>
      <c r="N30" s="179"/>
      <c r="O30" s="179"/>
      <c r="P30" s="179"/>
    </row>
    <row r="31" spans="1:33" ht="14.25" customHeight="1">
      <c r="A31" s="185"/>
      <c r="B31" s="156" t="str">
        <v>Kamlesh Shah</v>
      </c>
      <c r="C31" s="165">
        <v>0</v>
      </c>
      <c r="D31" s="165">
        <v>0.72</v>
      </c>
      <c r="E31" s="165">
        <v>0</v>
      </c>
      <c r="F31" s="165">
        <v>0.62</v>
      </c>
      <c r="G31" s="165">
        <v>0</v>
      </c>
      <c r="H31" s="165">
        <v>1.44</v>
      </c>
      <c r="I31" s="165">
        <v>0</v>
      </c>
      <c r="J31" s="165"/>
      <c r="K31" s="165">
        <v>0</v>
      </c>
      <c r="L31" s="165">
        <v>0</v>
      </c>
      <c r="M31" s="179"/>
      <c r="N31" s="179"/>
      <c r="O31" s="179"/>
      <c r="P31" s="179"/>
    </row>
    <row r="32" spans="1:33" ht="14.25" customHeight="1">
      <c r="A32" s="185"/>
      <c r="B32" s="156" t="str">
        <v>Sudhin Choksey</v>
      </c>
      <c r="C32" s="165">
        <v>0</v>
      </c>
      <c r="D32" s="165">
        <v>2.15</v>
      </c>
      <c r="E32" s="165">
        <v>0</v>
      </c>
      <c r="F32" s="165">
        <v>1.74</v>
      </c>
      <c r="G32" s="165">
        <v>0</v>
      </c>
      <c r="H32" s="165">
        <v>0.47</v>
      </c>
      <c r="I32" s="165">
        <v>0</v>
      </c>
      <c r="J32" s="165"/>
      <c r="K32" s="165">
        <v>0</v>
      </c>
      <c r="L32" s="165">
        <v>0.86</v>
      </c>
      <c r="M32" s="179"/>
      <c r="N32" s="179"/>
      <c r="O32" s="179"/>
      <c r="P32" s="179"/>
    </row>
    <row r="33" spans="1:16" ht="14.25" customHeight="1">
      <c r="B33" s="156" t="str">
        <v/>
      </c>
      <c r="C33" s="165"/>
      <c r="D33" s="165"/>
      <c r="E33" s="165"/>
      <c r="F33" s="165"/>
      <c r="G33" s="165"/>
      <c r="H33" s="165"/>
      <c r="I33" s="165"/>
      <c r="J33" s="165"/>
      <c r="K33" s="165"/>
      <c r="L33" s="165"/>
      <c r="M33" s="179"/>
      <c r="N33" s="179"/>
      <c r="O33" s="179"/>
      <c r="P33" s="179"/>
    </row>
    <row r="34" spans="1:16" ht="14.25" customHeight="1">
      <c r="B34" s="156" t="str">
        <v/>
      </c>
      <c r="C34" s="165"/>
      <c r="D34" s="165"/>
      <c r="E34" s="165"/>
      <c r="F34" s="165"/>
      <c r="G34" s="165"/>
      <c r="H34" s="165"/>
      <c r="I34" s="165"/>
      <c r="J34" s="165"/>
      <c r="K34" s="165"/>
      <c r="L34" s="165"/>
      <c r="M34" s="179"/>
      <c r="N34" s="179"/>
      <c r="O34" s="179"/>
      <c r="P34" s="179"/>
    </row>
    <row r="35" spans="1:16" ht="14.25" customHeight="1">
      <c r="B35" s="156" t="str">
        <v/>
      </c>
      <c r="C35" s="165"/>
      <c r="D35" s="165"/>
      <c r="E35" s="165"/>
      <c r="F35" s="165"/>
      <c r="G35" s="165"/>
      <c r="H35" s="165"/>
      <c r="I35" s="165"/>
      <c r="J35" s="165"/>
      <c r="K35" s="165"/>
      <c r="L35" s="165"/>
      <c r="M35" s="179"/>
      <c r="N35" s="179"/>
      <c r="O35" s="179"/>
      <c r="P35" s="179"/>
    </row>
    <row r="36" spans="1:16" ht="14.25" customHeight="1">
      <c r="B36" s="156" t="str">
        <v/>
      </c>
      <c r="C36" s="165"/>
      <c r="D36" s="165"/>
      <c r="E36" s="165"/>
      <c r="F36" s="165"/>
      <c r="G36" s="165"/>
      <c r="H36" s="165"/>
      <c r="I36" s="165"/>
      <c r="J36" s="165"/>
      <c r="K36" s="165"/>
      <c r="L36" s="165"/>
      <c r="M36" s="179"/>
      <c r="N36" s="179"/>
      <c r="O36" s="179"/>
      <c r="P36" s="179"/>
    </row>
    <row r="37" spans="1:16" ht="14.25" customHeight="1">
      <c r="B37" s="156" t="str">
        <v/>
      </c>
      <c r="C37" s="165"/>
      <c r="D37" s="165"/>
      <c r="E37" s="165"/>
      <c r="F37" s="165"/>
      <c r="G37" s="165"/>
      <c r="H37" s="165"/>
      <c r="I37" s="165"/>
      <c r="J37" s="165"/>
      <c r="K37" s="165"/>
      <c r="L37" s="165"/>
      <c r="M37" s="179"/>
      <c r="N37" s="179"/>
      <c r="O37" s="179"/>
      <c r="P37" s="179"/>
    </row>
    <row r="38" spans="1:16" ht="14.25" customHeight="1">
      <c r="B38" s="156" t="str">
        <v/>
      </c>
      <c r="C38" s="165"/>
      <c r="D38" s="165"/>
      <c r="E38" s="165"/>
      <c r="F38" s="165"/>
      <c r="G38" s="165"/>
      <c r="H38" s="165"/>
      <c r="I38" s="165"/>
      <c r="J38" s="165"/>
      <c r="K38" s="165"/>
      <c r="L38" s="165"/>
      <c r="M38" s="179"/>
      <c r="N38" s="179"/>
      <c r="O38" s="179"/>
      <c r="P38" s="179"/>
    </row>
    <row r="39" spans="1:16" ht="14.25" customHeight="1">
      <c r="B39" s="156" t="str">
        <v/>
      </c>
      <c r="C39" s="165"/>
      <c r="D39" s="165"/>
      <c r="E39" s="165"/>
      <c r="F39" s="165"/>
      <c r="G39" s="165"/>
      <c r="H39" s="165"/>
      <c r="I39" s="165"/>
      <c r="J39" s="165"/>
      <c r="K39" s="165"/>
      <c r="L39" s="165"/>
      <c r="M39" s="179"/>
      <c r="N39" s="179"/>
      <c r="O39" s="179"/>
      <c r="P39" s="179"/>
    </row>
    <row r="40" spans="1:16" ht="14.25" customHeight="1">
      <c r="B40" s="156" t="str">
        <v/>
      </c>
      <c r="C40" s="165"/>
      <c r="D40" s="165"/>
      <c r="E40" s="165"/>
      <c r="F40" s="165"/>
      <c r="G40" s="165"/>
      <c r="H40" s="165"/>
      <c r="I40" s="165"/>
      <c r="J40" s="165"/>
      <c r="K40" s="165"/>
      <c r="L40" s="165"/>
      <c r="M40" s="179"/>
      <c r="N40" s="179"/>
      <c r="O40" s="179"/>
      <c r="P40" s="179"/>
    </row>
    <row r="41" spans="1:16" ht="14.25" customHeight="1">
      <c r="B41" s="156" t="str">
        <v/>
      </c>
      <c r="C41" s="165"/>
      <c r="D41" s="165"/>
      <c r="E41" s="165"/>
      <c r="F41" s="165"/>
      <c r="G41" s="165"/>
      <c r="H41" s="165"/>
      <c r="I41" s="165"/>
      <c r="J41" s="165"/>
      <c r="K41" s="165"/>
      <c r="L41" s="165"/>
      <c r="M41" s="179"/>
      <c r="N41" s="179"/>
      <c r="O41" s="179"/>
      <c r="P41" s="179"/>
    </row>
    <row r="42" spans="1:16" ht="14.25" customHeight="1">
      <c r="B42" s="156" t="str">
        <v/>
      </c>
      <c r="C42" s="165"/>
      <c r="D42" s="165"/>
      <c r="E42" s="165"/>
      <c r="F42" s="165"/>
      <c r="G42" s="165"/>
      <c r="H42" s="165"/>
      <c r="I42" s="165"/>
      <c r="J42" s="165"/>
      <c r="K42" s="165"/>
      <c r="L42" s="165"/>
      <c r="M42" s="179"/>
      <c r="N42" s="179"/>
      <c r="O42" s="179"/>
      <c r="P42" s="179"/>
    </row>
    <row r="43" spans="1:16" ht="14.25" customHeight="1">
      <c r="B43" s="156" t="str">
        <v/>
      </c>
      <c r="C43" s="165"/>
      <c r="D43" s="165"/>
      <c r="E43" s="165"/>
      <c r="F43" s="165"/>
      <c r="G43" s="165"/>
      <c r="H43" s="165"/>
      <c r="I43" s="165"/>
      <c r="J43" s="165"/>
      <c r="K43" s="165"/>
      <c r="L43" s="165"/>
      <c r="M43" s="179"/>
      <c r="N43" s="179"/>
      <c r="O43" s="179"/>
      <c r="P43" s="179"/>
    </row>
    <row r="44" spans="1:16" ht="28">
      <c r="A44" s="183" t="s">
        <v>4</v>
      </c>
      <c r="B44" s="156" t="s">
        <v>841</v>
      </c>
      <c r="C44" s="168" t="s">
        <v>1323</v>
      </c>
      <c r="D44" s="168" t="s">
        <v>1324</v>
      </c>
      <c r="E44" s="168" t="s">
        <v>878</v>
      </c>
      <c r="F44" s="168" t="s">
        <v>879</v>
      </c>
      <c r="G44" s="168" t="s">
        <v>38</v>
      </c>
      <c r="H44" s="168" t="s">
        <v>39</v>
      </c>
      <c r="I44" s="168" t="s">
        <v>40</v>
      </c>
      <c r="J44" s="168" t="s">
        <v>41</v>
      </c>
      <c r="K44" s="168" t="s">
        <v>42</v>
      </c>
      <c r="L44" s="168" t="s">
        <v>43</v>
      </c>
      <c r="M44" s="168" t="s">
        <v>44</v>
      </c>
      <c r="N44" s="168" t="s">
        <v>45</v>
      </c>
      <c r="O44" s="168" t="s">
        <v>46</v>
      </c>
      <c r="P44" s="168" t="s">
        <v>47</v>
      </c>
    </row>
    <row r="45" spans="1:16" ht="14.25" customHeight="1">
      <c r="B45" s="156" t="str">
        <f>B24</f>
        <v>Keki M.Mistry</v>
      </c>
      <c r="C45" s="166">
        <v>4</v>
      </c>
      <c r="D45" s="166">
        <v>4</v>
      </c>
      <c r="E45" s="166">
        <v>5</v>
      </c>
      <c r="F45" s="166">
        <v>5</v>
      </c>
      <c r="G45" s="166">
        <v>4</v>
      </c>
      <c r="H45" s="166">
        <v>4</v>
      </c>
      <c r="I45" s="180"/>
      <c r="J45" s="180"/>
      <c r="K45" s="180"/>
      <c r="L45" s="180"/>
      <c r="M45" s="180"/>
      <c r="N45" s="180"/>
      <c r="O45" s="180"/>
      <c r="P45" s="180"/>
    </row>
    <row r="46" spans="1:16" ht="14.25" customHeight="1">
      <c r="B46" s="156" t="str">
        <f t="shared" ref="B46:B64" si="0">B25</f>
        <v>Renu Sud Karnad</v>
      </c>
      <c r="C46" s="166">
        <v>2</v>
      </c>
      <c r="D46" s="166">
        <v>4</v>
      </c>
      <c r="E46" s="166">
        <v>5</v>
      </c>
      <c r="F46" s="166">
        <v>5</v>
      </c>
      <c r="G46" s="166">
        <v>4</v>
      </c>
      <c r="H46" s="166">
        <v>4</v>
      </c>
      <c r="I46" s="180"/>
      <c r="J46" s="180"/>
      <c r="K46" s="180"/>
      <c r="L46" s="180"/>
      <c r="M46" s="180"/>
      <c r="N46" s="180"/>
      <c r="O46" s="180"/>
      <c r="P46" s="180"/>
    </row>
    <row r="47" spans="1:16" ht="14.25" customHeight="1">
      <c r="B47" s="156" t="str">
        <f t="shared" si="0"/>
        <v>S.M Palia</v>
      </c>
      <c r="C47" s="166">
        <v>4</v>
      </c>
      <c r="D47" s="166">
        <v>4</v>
      </c>
      <c r="E47" s="166">
        <v>5</v>
      </c>
      <c r="F47" s="166">
        <v>5</v>
      </c>
      <c r="G47" s="166">
        <v>4</v>
      </c>
      <c r="H47" s="166">
        <v>4</v>
      </c>
      <c r="I47" s="180"/>
      <c r="J47" s="180"/>
      <c r="K47" s="180"/>
      <c r="L47" s="180"/>
      <c r="M47" s="180"/>
      <c r="N47" s="180"/>
      <c r="O47" s="180"/>
      <c r="P47" s="180"/>
    </row>
    <row r="48" spans="1:16" ht="14.25" customHeight="1">
      <c r="B48" s="156" t="str">
        <f t="shared" si="0"/>
        <v>Rohit C. Mehta</v>
      </c>
      <c r="C48" s="166">
        <v>3</v>
      </c>
      <c r="D48" s="166">
        <v>4</v>
      </c>
      <c r="E48" s="166">
        <v>3</v>
      </c>
      <c r="F48" s="166">
        <v>5</v>
      </c>
      <c r="G48" s="166">
        <v>3</v>
      </c>
      <c r="H48" s="166">
        <v>4</v>
      </c>
      <c r="I48" s="180"/>
      <c r="J48" s="180"/>
      <c r="K48" s="180"/>
      <c r="L48" s="180"/>
      <c r="M48" s="180"/>
      <c r="N48" s="180"/>
      <c r="O48" s="180"/>
      <c r="P48" s="180"/>
    </row>
    <row r="49" spans="2:16" s="132" customFormat="1" ht="14.25" customHeight="1">
      <c r="B49" s="156" t="str">
        <f t="shared" si="0"/>
        <v>Prafull Anubhai</v>
      </c>
      <c r="C49" s="166">
        <v>4</v>
      </c>
      <c r="D49" s="166">
        <v>4</v>
      </c>
      <c r="E49" s="166">
        <v>5</v>
      </c>
      <c r="F49" s="166">
        <v>5</v>
      </c>
      <c r="G49" s="166">
        <v>4</v>
      </c>
      <c r="H49" s="166">
        <v>4</v>
      </c>
      <c r="I49" s="180"/>
      <c r="J49" s="180"/>
      <c r="K49" s="180"/>
      <c r="L49" s="180"/>
      <c r="M49" s="180"/>
      <c r="N49" s="180"/>
      <c r="O49" s="180"/>
      <c r="P49" s="180"/>
    </row>
    <row r="50" spans="2:16" s="132" customFormat="1" ht="14.25" customHeight="1">
      <c r="B50" s="156" t="str">
        <f t="shared" si="0"/>
        <v>K.G Krishnamurty</v>
      </c>
      <c r="C50" s="166">
        <v>4</v>
      </c>
      <c r="D50" s="166">
        <v>4</v>
      </c>
      <c r="E50" s="166">
        <v>4</v>
      </c>
      <c r="F50" s="166">
        <v>5</v>
      </c>
      <c r="G50" s="166">
        <v>4</v>
      </c>
      <c r="H50" s="166">
        <v>4</v>
      </c>
      <c r="I50" s="180"/>
      <c r="J50" s="180"/>
      <c r="K50" s="180"/>
      <c r="L50" s="180"/>
      <c r="M50" s="180"/>
      <c r="N50" s="180"/>
      <c r="O50" s="180"/>
      <c r="P50" s="180"/>
    </row>
    <row r="51" spans="2:16" s="132" customFormat="1" ht="14.25" customHeight="1">
      <c r="B51" s="156" t="str">
        <f t="shared" si="0"/>
        <v>S.G Mankad</v>
      </c>
      <c r="C51" s="166">
        <v>4</v>
      </c>
      <c r="D51" s="166">
        <v>4</v>
      </c>
      <c r="E51" s="166">
        <v>4</v>
      </c>
      <c r="F51" s="166">
        <v>5</v>
      </c>
      <c r="G51" s="166">
        <v>4</v>
      </c>
      <c r="H51" s="166">
        <v>4</v>
      </c>
      <c r="I51" s="180"/>
      <c r="J51" s="180"/>
      <c r="K51" s="180"/>
      <c r="L51" s="180"/>
      <c r="M51" s="180"/>
      <c r="N51" s="180"/>
      <c r="O51" s="180"/>
      <c r="P51" s="180"/>
    </row>
    <row r="52" spans="2:16" s="132" customFormat="1" ht="14.25" customHeight="1">
      <c r="B52" s="156" t="str">
        <f t="shared" si="0"/>
        <v>Kamlesh Shah</v>
      </c>
      <c r="C52" s="166">
        <v>4</v>
      </c>
      <c r="D52" s="166">
        <v>4</v>
      </c>
      <c r="E52" s="166">
        <v>5</v>
      </c>
      <c r="F52" s="166">
        <v>5</v>
      </c>
      <c r="G52" s="166">
        <v>4</v>
      </c>
      <c r="H52" s="166">
        <v>4</v>
      </c>
      <c r="I52" s="180"/>
      <c r="J52" s="180"/>
      <c r="K52" s="180"/>
      <c r="L52" s="180"/>
      <c r="M52" s="180"/>
      <c r="N52" s="180"/>
      <c r="O52" s="180"/>
      <c r="P52" s="180"/>
    </row>
    <row r="53" spans="2:16" s="132" customFormat="1" ht="14.25" customHeight="1">
      <c r="B53" s="156" t="str">
        <f t="shared" si="0"/>
        <v>Sudhin Choksey</v>
      </c>
      <c r="C53" s="166">
        <v>3</v>
      </c>
      <c r="D53" s="166">
        <v>4</v>
      </c>
      <c r="E53" s="166">
        <v>5</v>
      </c>
      <c r="F53" s="166">
        <v>5</v>
      </c>
      <c r="G53" s="166">
        <v>4</v>
      </c>
      <c r="H53" s="166">
        <v>4</v>
      </c>
      <c r="I53" s="180"/>
      <c r="J53" s="180"/>
      <c r="K53" s="180"/>
      <c r="L53" s="180"/>
      <c r="M53" s="180"/>
      <c r="N53" s="180"/>
      <c r="O53" s="180"/>
      <c r="P53" s="180"/>
    </row>
    <row r="54" spans="2:16" s="132" customFormat="1" ht="14.25" customHeight="1">
      <c r="B54" s="156" t="str">
        <f t="shared" si="0"/>
        <v/>
      </c>
      <c r="C54" s="166"/>
      <c r="D54" s="166"/>
      <c r="E54" s="166"/>
      <c r="F54" s="166"/>
      <c r="G54" s="166"/>
      <c r="H54" s="166"/>
      <c r="I54" s="180"/>
      <c r="J54" s="180"/>
      <c r="K54" s="180"/>
      <c r="L54" s="180"/>
      <c r="M54" s="180"/>
      <c r="N54" s="180"/>
      <c r="O54" s="180"/>
      <c r="P54" s="180"/>
    </row>
    <row r="55" spans="2:16" s="132" customFormat="1" ht="14.25" customHeight="1">
      <c r="B55" s="156" t="str">
        <f t="shared" si="0"/>
        <v/>
      </c>
      <c r="C55" s="166"/>
      <c r="D55" s="166"/>
      <c r="E55" s="166"/>
      <c r="F55" s="166"/>
      <c r="G55" s="166"/>
      <c r="H55" s="166"/>
      <c r="I55" s="180"/>
      <c r="J55" s="180"/>
      <c r="K55" s="180"/>
      <c r="L55" s="180"/>
      <c r="M55" s="180"/>
      <c r="N55" s="180"/>
      <c r="O55" s="180"/>
      <c r="P55" s="180"/>
    </row>
    <row r="56" spans="2:16" s="132" customFormat="1" ht="14.25" customHeight="1">
      <c r="B56" s="156" t="str">
        <f t="shared" si="0"/>
        <v/>
      </c>
      <c r="C56" s="166"/>
      <c r="D56" s="166"/>
      <c r="E56" s="166"/>
      <c r="F56" s="166"/>
      <c r="G56" s="166"/>
      <c r="H56" s="166"/>
      <c r="I56" s="180"/>
      <c r="J56" s="180"/>
      <c r="K56" s="180"/>
      <c r="L56" s="180"/>
      <c r="M56" s="180"/>
      <c r="N56" s="180"/>
      <c r="O56" s="180"/>
      <c r="P56" s="180"/>
    </row>
    <row r="57" spans="2:16" s="132" customFormat="1" ht="14.25" customHeight="1">
      <c r="B57" s="156" t="str">
        <f t="shared" si="0"/>
        <v/>
      </c>
      <c r="C57" s="166"/>
      <c r="D57" s="166"/>
      <c r="E57" s="166"/>
      <c r="F57" s="166"/>
      <c r="G57" s="166"/>
      <c r="H57" s="166"/>
      <c r="I57" s="180"/>
      <c r="J57" s="180"/>
      <c r="K57" s="180"/>
      <c r="L57" s="180"/>
      <c r="M57" s="180"/>
      <c r="N57" s="180"/>
      <c r="O57" s="180"/>
      <c r="P57" s="180"/>
    </row>
    <row r="58" spans="2:16" s="132" customFormat="1" ht="14.25" customHeight="1">
      <c r="B58" s="156" t="str">
        <f t="shared" si="0"/>
        <v/>
      </c>
      <c r="C58" s="166"/>
      <c r="D58" s="166"/>
      <c r="E58" s="166"/>
      <c r="F58" s="166"/>
      <c r="G58" s="166"/>
      <c r="H58" s="166"/>
      <c r="I58" s="180"/>
      <c r="J58" s="180"/>
      <c r="K58" s="180"/>
      <c r="L58" s="180"/>
      <c r="M58" s="180"/>
      <c r="N58" s="180"/>
      <c r="O58" s="180"/>
      <c r="P58" s="180"/>
    </row>
    <row r="59" spans="2:16" s="132" customFormat="1" ht="14.25" customHeight="1">
      <c r="B59" s="156" t="str">
        <f t="shared" si="0"/>
        <v/>
      </c>
      <c r="C59" s="166"/>
      <c r="D59" s="166"/>
      <c r="E59" s="166"/>
      <c r="F59" s="166"/>
      <c r="G59" s="166"/>
      <c r="H59" s="166"/>
      <c r="I59" s="180"/>
      <c r="J59" s="180"/>
      <c r="K59" s="180"/>
      <c r="L59" s="180"/>
      <c r="M59" s="180"/>
      <c r="N59" s="180"/>
      <c r="O59" s="180"/>
      <c r="P59" s="180"/>
    </row>
    <row r="60" spans="2:16" s="132" customFormat="1" ht="14.25" customHeight="1">
      <c r="B60" s="156" t="str">
        <f t="shared" si="0"/>
        <v/>
      </c>
      <c r="C60" s="166"/>
      <c r="D60" s="166"/>
      <c r="E60" s="166"/>
      <c r="F60" s="166"/>
      <c r="G60" s="166"/>
      <c r="H60" s="166"/>
      <c r="I60" s="180"/>
      <c r="J60" s="180"/>
      <c r="K60" s="180"/>
      <c r="L60" s="180"/>
      <c r="M60" s="180"/>
      <c r="N60" s="180"/>
      <c r="O60" s="180"/>
      <c r="P60" s="180"/>
    </row>
    <row r="61" spans="2:16" s="132" customFormat="1" ht="14.25" customHeight="1">
      <c r="B61" s="156" t="str">
        <f t="shared" si="0"/>
        <v/>
      </c>
      <c r="C61" s="166"/>
      <c r="D61" s="166"/>
      <c r="E61" s="166"/>
      <c r="F61" s="166"/>
      <c r="G61" s="166"/>
      <c r="H61" s="166"/>
      <c r="I61" s="180"/>
      <c r="J61" s="180"/>
      <c r="K61" s="180"/>
      <c r="L61" s="180"/>
      <c r="M61" s="180"/>
      <c r="N61" s="180"/>
      <c r="O61" s="180"/>
      <c r="P61" s="180"/>
    </row>
    <row r="62" spans="2:16" s="132" customFormat="1" ht="14.25" customHeight="1">
      <c r="B62" s="156" t="str">
        <f t="shared" si="0"/>
        <v/>
      </c>
      <c r="C62" s="166"/>
      <c r="D62" s="166"/>
      <c r="E62" s="166"/>
      <c r="F62" s="166"/>
      <c r="G62" s="166"/>
      <c r="H62" s="166"/>
      <c r="I62" s="180"/>
      <c r="J62" s="180"/>
      <c r="K62" s="180"/>
      <c r="L62" s="180"/>
      <c r="M62" s="180"/>
      <c r="N62" s="180"/>
      <c r="O62" s="180"/>
      <c r="P62" s="180"/>
    </row>
    <row r="63" spans="2:16" s="132" customFormat="1" ht="14.25" customHeight="1">
      <c r="B63" s="156" t="str">
        <f t="shared" si="0"/>
        <v/>
      </c>
      <c r="C63" s="166"/>
      <c r="D63" s="166"/>
      <c r="E63" s="166"/>
      <c r="F63" s="166"/>
      <c r="G63" s="166"/>
      <c r="H63" s="166"/>
      <c r="I63" s="180"/>
      <c r="J63" s="180"/>
      <c r="K63" s="180"/>
      <c r="L63" s="180"/>
      <c r="M63" s="180"/>
      <c r="N63" s="180"/>
      <c r="O63" s="180"/>
      <c r="P63" s="180"/>
    </row>
    <row r="64" spans="2:16" s="132" customFormat="1" ht="14.25" customHeight="1">
      <c r="B64" s="156" t="str">
        <f t="shared" si="0"/>
        <v/>
      </c>
      <c r="C64" s="166"/>
      <c r="D64" s="166"/>
      <c r="E64" s="166"/>
      <c r="F64" s="166"/>
      <c r="G64" s="166"/>
      <c r="H64" s="166"/>
      <c r="I64" s="180"/>
      <c r="J64" s="180"/>
      <c r="K64" s="180"/>
      <c r="L64" s="180"/>
      <c r="M64" s="180"/>
      <c r="N64" s="180"/>
      <c r="O64" s="180"/>
      <c r="P64" s="180"/>
    </row>
    <row r="65" spans="1:16" ht="28">
      <c r="A65" s="183" t="s">
        <v>16</v>
      </c>
      <c r="B65" s="167" t="s">
        <v>841</v>
      </c>
      <c r="C65" s="168" t="s">
        <v>1323</v>
      </c>
      <c r="D65" s="168" t="s">
        <v>1324</v>
      </c>
      <c r="E65" s="168" t="s">
        <v>878</v>
      </c>
      <c r="F65" s="168" t="s">
        <v>879</v>
      </c>
      <c r="G65" s="168" t="s">
        <v>38</v>
      </c>
      <c r="H65" s="168" t="s">
        <v>39</v>
      </c>
      <c r="I65" s="168" t="s">
        <v>40</v>
      </c>
      <c r="J65" s="168" t="s">
        <v>41</v>
      </c>
      <c r="K65" s="168" t="s">
        <v>42</v>
      </c>
      <c r="L65" s="168" t="s">
        <v>43</v>
      </c>
      <c r="M65" s="168" t="s">
        <v>44</v>
      </c>
      <c r="N65" s="168" t="s">
        <v>45</v>
      </c>
      <c r="O65" s="168" t="s">
        <v>46</v>
      </c>
      <c r="P65" s="168" t="s">
        <v>47</v>
      </c>
    </row>
    <row r="66" spans="1:16" ht="14.25" customHeight="1">
      <c r="B66" s="156" t="str">
        <f t="array" ref="B66:B85">IF(1*($I$3:$I$22="M")+($I$3:$I$22="C")*1,$B$3:$B$22,"")</f>
        <v>Keki M.Mistry</v>
      </c>
      <c r="C66" s="169">
        <v>4</v>
      </c>
      <c r="D66" s="169">
        <v>4</v>
      </c>
      <c r="E66" s="169">
        <v>5</v>
      </c>
      <c r="F66" s="169">
        <v>5</v>
      </c>
      <c r="G66" s="169">
        <v>5</v>
      </c>
      <c r="H66" s="169">
        <v>5</v>
      </c>
      <c r="I66" s="181"/>
      <c r="J66" s="181"/>
      <c r="K66" s="181"/>
      <c r="L66" s="181"/>
      <c r="M66" s="181"/>
      <c r="N66" s="181"/>
      <c r="O66" s="181"/>
      <c r="P66" s="181"/>
    </row>
    <row r="67" spans="1:16" ht="14.25" customHeight="1">
      <c r="B67" s="156" t="str">
        <v/>
      </c>
      <c r="C67" s="169"/>
      <c r="D67" s="169"/>
      <c r="E67" s="169"/>
      <c r="F67" s="169"/>
      <c r="G67" s="169"/>
      <c r="H67" s="169"/>
      <c r="I67" s="181"/>
      <c r="J67" s="181"/>
      <c r="K67" s="181"/>
      <c r="L67" s="181"/>
      <c r="M67" s="181"/>
      <c r="N67" s="181"/>
      <c r="O67" s="181"/>
      <c r="P67" s="181"/>
    </row>
    <row r="68" spans="1:16" ht="14.25" customHeight="1">
      <c r="B68" s="156" t="str">
        <v>S.M Palia</v>
      </c>
      <c r="C68" s="169">
        <v>4</v>
      </c>
      <c r="D68" s="169">
        <v>4</v>
      </c>
      <c r="E68" s="169">
        <v>5</v>
      </c>
      <c r="F68" s="169">
        <v>5</v>
      </c>
      <c r="G68" s="169">
        <v>5</v>
      </c>
      <c r="H68" s="169">
        <v>5</v>
      </c>
      <c r="I68" s="181"/>
      <c r="J68" s="181"/>
      <c r="K68" s="181"/>
      <c r="L68" s="181"/>
      <c r="M68" s="181"/>
      <c r="N68" s="181"/>
      <c r="O68" s="181"/>
      <c r="P68" s="181"/>
    </row>
    <row r="69" spans="1:16" ht="14.25" customHeight="1">
      <c r="B69" s="156" t="str">
        <v>Rohit C. Mehta</v>
      </c>
      <c r="C69" s="169">
        <v>3</v>
      </c>
      <c r="D69" s="169">
        <v>4</v>
      </c>
      <c r="E69" s="169">
        <v>4</v>
      </c>
      <c r="F69" s="169">
        <v>5</v>
      </c>
      <c r="G69" s="169">
        <v>3</v>
      </c>
      <c r="H69" s="169">
        <v>5</v>
      </c>
      <c r="I69" s="181"/>
      <c r="J69" s="181"/>
      <c r="K69" s="181"/>
      <c r="L69" s="181"/>
      <c r="M69" s="181"/>
      <c r="N69" s="181"/>
      <c r="O69" s="181"/>
      <c r="P69" s="181"/>
    </row>
    <row r="70" spans="1:16" ht="14.25" customHeight="1">
      <c r="B70" s="156" t="str">
        <v>Prafull Anubhai</v>
      </c>
      <c r="C70" s="169">
        <v>4</v>
      </c>
      <c r="D70" s="169">
        <v>4</v>
      </c>
      <c r="E70" s="169">
        <v>5</v>
      </c>
      <c r="F70" s="169">
        <v>5</v>
      </c>
      <c r="G70" s="169">
        <v>5</v>
      </c>
      <c r="H70" s="169">
        <v>5</v>
      </c>
      <c r="I70" s="181"/>
      <c r="J70" s="181"/>
      <c r="K70" s="181"/>
      <c r="L70" s="181"/>
      <c r="M70" s="181"/>
      <c r="N70" s="181"/>
      <c r="O70" s="181"/>
      <c r="P70" s="181"/>
    </row>
    <row r="71" spans="1:16" ht="14.25" customHeight="1">
      <c r="B71" s="156" t="str">
        <v/>
      </c>
      <c r="C71" s="169"/>
      <c r="D71" s="169"/>
      <c r="E71" s="169"/>
      <c r="F71" s="169"/>
      <c r="G71" s="169"/>
      <c r="H71" s="169"/>
      <c r="I71" s="181"/>
      <c r="J71" s="181"/>
      <c r="K71" s="181"/>
      <c r="L71" s="181"/>
      <c r="M71" s="181"/>
      <c r="N71" s="181"/>
      <c r="O71" s="181"/>
      <c r="P71" s="181"/>
    </row>
    <row r="72" spans="1:16" ht="14.25" customHeight="1">
      <c r="B72" s="156" t="str">
        <v/>
      </c>
      <c r="C72" s="169"/>
      <c r="D72" s="169"/>
      <c r="E72" s="169"/>
      <c r="F72" s="169"/>
      <c r="G72" s="169"/>
      <c r="H72" s="169"/>
      <c r="I72" s="181"/>
      <c r="J72" s="181"/>
      <c r="K72" s="181"/>
      <c r="L72" s="181"/>
      <c r="M72" s="181"/>
      <c r="N72" s="181"/>
      <c r="O72" s="181"/>
      <c r="P72" s="181"/>
    </row>
    <row r="73" spans="1:16" ht="14.25" customHeight="1">
      <c r="B73" s="156" t="str">
        <v/>
      </c>
      <c r="C73" s="169"/>
      <c r="D73" s="169"/>
      <c r="E73" s="169"/>
      <c r="F73" s="169"/>
      <c r="G73" s="169"/>
      <c r="H73" s="169"/>
      <c r="I73" s="181"/>
      <c r="J73" s="181"/>
      <c r="K73" s="181"/>
      <c r="L73" s="181"/>
      <c r="M73" s="181"/>
      <c r="N73" s="181"/>
      <c r="O73" s="181"/>
      <c r="P73" s="181"/>
    </row>
    <row r="74" spans="1:16" ht="14.25" customHeight="1">
      <c r="B74" s="156" t="str">
        <v/>
      </c>
      <c r="C74" s="169"/>
      <c r="D74" s="169"/>
      <c r="E74" s="169"/>
      <c r="F74" s="169"/>
      <c r="G74" s="169"/>
      <c r="H74" s="169"/>
      <c r="I74" s="181"/>
      <c r="J74" s="181"/>
      <c r="K74" s="181"/>
      <c r="L74" s="181"/>
      <c r="M74" s="181"/>
      <c r="N74" s="181"/>
      <c r="O74" s="181"/>
      <c r="P74" s="181"/>
    </row>
    <row r="75" spans="1:16" ht="14.25" customHeight="1">
      <c r="B75" s="156" t="str">
        <v/>
      </c>
      <c r="C75" s="169"/>
      <c r="D75" s="169"/>
      <c r="E75" s="169"/>
      <c r="F75" s="169"/>
      <c r="G75" s="169"/>
      <c r="H75" s="169"/>
      <c r="I75" s="181"/>
      <c r="J75" s="181"/>
      <c r="K75" s="181"/>
      <c r="L75" s="181"/>
      <c r="M75" s="181"/>
      <c r="N75" s="181"/>
      <c r="O75" s="181"/>
      <c r="P75" s="181"/>
    </row>
    <row r="76" spans="1:16" ht="14.25" customHeight="1">
      <c r="B76" s="156" t="str">
        <v/>
      </c>
      <c r="C76" s="169"/>
      <c r="D76" s="169"/>
      <c r="E76" s="169"/>
      <c r="F76" s="169"/>
      <c r="G76" s="169"/>
      <c r="H76" s="169"/>
      <c r="I76" s="181"/>
      <c r="J76" s="181"/>
      <c r="K76" s="181"/>
      <c r="L76" s="181"/>
      <c r="M76" s="181"/>
      <c r="N76" s="181"/>
      <c r="O76" s="181"/>
      <c r="P76" s="181"/>
    </row>
    <row r="77" spans="1:16" ht="14.25" customHeight="1">
      <c r="B77" s="156" t="str">
        <v/>
      </c>
      <c r="C77" s="169"/>
      <c r="D77" s="169"/>
      <c r="E77" s="169"/>
      <c r="F77" s="169"/>
      <c r="G77" s="169"/>
      <c r="H77" s="169"/>
      <c r="I77" s="181"/>
      <c r="J77" s="181"/>
      <c r="K77" s="181"/>
      <c r="L77" s="181"/>
      <c r="M77" s="181"/>
      <c r="N77" s="181"/>
      <c r="O77" s="181"/>
      <c r="P77" s="181"/>
    </row>
    <row r="78" spans="1:16" ht="14.25" customHeight="1">
      <c r="B78" s="156" t="str">
        <v/>
      </c>
      <c r="C78" s="169"/>
      <c r="D78" s="169"/>
      <c r="E78" s="169"/>
      <c r="F78" s="169"/>
      <c r="G78" s="169"/>
      <c r="H78" s="169"/>
      <c r="I78" s="181"/>
      <c r="J78" s="181"/>
      <c r="K78" s="181"/>
      <c r="L78" s="181"/>
      <c r="M78" s="181"/>
      <c r="N78" s="181"/>
      <c r="O78" s="181"/>
      <c r="P78" s="181"/>
    </row>
    <row r="79" spans="1:16" ht="14.25" customHeight="1">
      <c r="B79" s="156" t="str">
        <v/>
      </c>
      <c r="C79" s="169"/>
      <c r="D79" s="169"/>
      <c r="E79" s="169"/>
      <c r="F79" s="169"/>
      <c r="G79" s="169"/>
      <c r="H79" s="169"/>
      <c r="I79" s="181"/>
      <c r="J79" s="181"/>
      <c r="K79" s="181"/>
      <c r="L79" s="181"/>
      <c r="M79" s="181"/>
      <c r="N79" s="181"/>
      <c r="O79" s="181"/>
      <c r="P79" s="181"/>
    </row>
    <row r="80" spans="1:16" ht="14.25" customHeight="1">
      <c r="B80" s="156" t="str">
        <v/>
      </c>
      <c r="C80" s="169"/>
      <c r="D80" s="169"/>
      <c r="E80" s="169"/>
      <c r="F80" s="169"/>
      <c r="G80" s="169"/>
      <c r="H80" s="169"/>
      <c r="I80" s="181"/>
      <c r="J80" s="181"/>
      <c r="K80" s="181"/>
      <c r="L80" s="181"/>
      <c r="M80" s="181"/>
      <c r="N80" s="181"/>
      <c r="O80" s="181"/>
      <c r="P80" s="181"/>
    </row>
    <row r="81" spans="1:16" ht="14.25" customHeight="1">
      <c r="B81" s="156" t="str">
        <v/>
      </c>
      <c r="C81" s="169"/>
      <c r="D81" s="169"/>
      <c r="E81" s="169"/>
      <c r="F81" s="169"/>
      <c r="G81" s="169"/>
      <c r="H81" s="169"/>
      <c r="I81" s="181"/>
      <c r="J81" s="181"/>
      <c r="K81" s="181"/>
      <c r="L81" s="181"/>
      <c r="M81" s="181"/>
      <c r="N81" s="181"/>
      <c r="O81" s="181"/>
      <c r="P81" s="181"/>
    </row>
    <row r="82" spans="1:16" ht="14.25" customHeight="1">
      <c r="B82" s="156" t="str">
        <v/>
      </c>
      <c r="C82" s="169"/>
      <c r="D82" s="169"/>
      <c r="E82" s="169"/>
      <c r="F82" s="169"/>
      <c r="G82" s="169"/>
      <c r="H82" s="169"/>
      <c r="I82" s="181"/>
      <c r="J82" s="181"/>
      <c r="K82" s="181"/>
      <c r="L82" s="181"/>
      <c r="M82" s="181"/>
      <c r="N82" s="181"/>
      <c r="O82" s="181"/>
      <c r="P82" s="181"/>
    </row>
    <row r="83" spans="1:16" ht="14.25" customHeight="1">
      <c r="B83" s="156" t="str">
        <v/>
      </c>
      <c r="C83" s="169"/>
      <c r="D83" s="169"/>
      <c r="E83" s="169"/>
      <c r="F83" s="169"/>
      <c r="G83" s="169"/>
      <c r="H83" s="169"/>
      <c r="I83" s="181"/>
      <c r="J83" s="181"/>
      <c r="K83" s="181"/>
      <c r="L83" s="181"/>
      <c r="M83" s="181"/>
      <c r="N83" s="181"/>
      <c r="O83" s="181"/>
      <c r="P83" s="181"/>
    </row>
    <row r="84" spans="1:16" ht="14.25" customHeight="1">
      <c r="B84" s="156" t="str">
        <v/>
      </c>
      <c r="C84" s="169"/>
      <c r="D84" s="169"/>
      <c r="E84" s="169"/>
      <c r="F84" s="169"/>
      <c r="G84" s="169"/>
      <c r="H84" s="169"/>
      <c r="I84" s="181"/>
      <c r="J84" s="181"/>
      <c r="K84" s="181"/>
      <c r="L84" s="181"/>
      <c r="M84" s="181"/>
      <c r="N84" s="181"/>
      <c r="O84" s="181"/>
      <c r="P84" s="181"/>
    </row>
    <row r="85" spans="1:16" ht="14.25" customHeight="1">
      <c r="B85" s="156" t="str">
        <v/>
      </c>
      <c r="C85" s="169"/>
      <c r="D85" s="169"/>
      <c r="E85" s="169"/>
      <c r="F85" s="169"/>
      <c r="G85" s="169"/>
      <c r="H85" s="169"/>
      <c r="I85" s="181"/>
      <c r="J85" s="181"/>
      <c r="K85" s="181"/>
      <c r="L85" s="181"/>
      <c r="M85" s="181"/>
      <c r="N85" s="181"/>
      <c r="O85" s="181"/>
      <c r="P85" s="181"/>
    </row>
    <row r="86" spans="1:16" ht="42">
      <c r="A86" s="183" t="s">
        <v>18</v>
      </c>
      <c r="B86" s="167" t="str">
        <f>IF(COUNTBLANK($B87:$B106)=20,"No Remuneration Committee","")</f>
        <v/>
      </c>
      <c r="C86" s="168" t="s">
        <v>1323</v>
      </c>
      <c r="D86" s="168" t="s">
        <v>1324</v>
      </c>
      <c r="E86" s="168" t="s">
        <v>878</v>
      </c>
      <c r="F86" s="168" t="s">
        <v>879</v>
      </c>
      <c r="G86" s="168" t="s">
        <v>38</v>
      </c>
      <c r="H86" s="168" t="s">
        <v>39</v>
      </c>
      <c r="I86" s="168" t="s">
        <v>40</v>
      </c>
      <c r="J86" s="168" t="s">
        <v>41</v>
      </c>
      <c r="K86" s="168" t="s">
        <v>42</v>
      </c>
      <c r="L86" s="168" t="s">
        <v>43</v>
      </c>
      <c r="M86" s="168" t="s">
        <v>44</v>
      </c>
      <c r="N86" s="168" t="s">
        <v>45</v>
      </c>
      <c r="O86" s="168" t="s">
        <v>46</v>
      </c>
      <c r="P86" s="168" t="s">
        <v>47</v>
      </c>
    </row>
    <row r="87" spans="1:16" ht="14.25" customHeight="1">
      <c r="B87" s="156" t="str">
        <f t="array" ref="B87:B106">IF(1*($K$3:$K$22="M")+($K$3:$K$22="C")*1,$B$3:$B$22,"")</f>
        <v>Keki M.Mistry</v>
      </c>
      <c r="C87" s="169">
        <v>1</v>
      </c>
      <c r="D87" s="169">
        <v>1</v>
      </c>
      <c r="E87" s="169">
        <v>1</v>
      </c>
      <c r="F87" s="169">
        <v>1</v>
      </c>
      <c r="G87" s="169">
        <v>1</v>
      </c>
      <c r="H87" s="169">
        <v>1</v>
      </c>
      <c r="I87" s="181"/>
      <c r="J87" s="181"/>
      <c r="K87" s="181"/>
      <c r="L87" s="181"/>
      <c r="M87" s="181"/>
      <c r="N87" s="181"/>
      <c r="O87" s="181"/>
      <c r="P87" s="181"/>
    </row>
    <row r="88" spans="1:16" ht="14.25" customHeight="1">
      <c r="B88" s="156" t="str">
        <v>Renu Sud Karnad</v>
      </c>
      <c r="C88" s="169">
        <v>1</v>
      </c>
      <c r="D88" s="169">
        <v>1</v>
      </c>
      <c r="E88" s="169">
        <v>1</v>
      </c>
      <c r="F88" s="169">
        <v>1</v>
      </c>
      <c r="G88" s="169">
        <v>1</v>
      </c>
      <c r="H88" s="169">
        <v>1</v>
      </c>
      <c r="I88" s="181"/>
      <c r="J88" s="181"/>
      <c r="K88" s="181"/>
      <c r="L88" s="181"/>
      <c r="M88" s="181"/>
      <c r="N88" s="181"/>
      <c r="O88" s="181"/>
      <c r="P88" s="181"/>
    </row>
    <row r="89" spans="1:16" ht="14.25" customHeight="1">
      <c r="B89" s="156" t="str">
        <v>S.M Palia</v>
      </c>
      <c r="C89" s="169">
        <v>1</v>
      </c>
      <c r="D89" s="169">
        <v>1</v>
      </c>
      <c r="E89" s="169">
        <v>1</v>
      </c>
      <c r="F89" s="169">
        <v>1</v>
      </c>
      <c r="G89" s="169">
        <v>1</v>
      </c>
      <c r="H89" s="169">
        <v>1</v>
      </c>
      <c r="I89" s="181"/>
      <c r="J89" s="181"/>
      <c r="K89" s="181"/>
      <c r="L89" s="181"/>
      <c r="M89" s="181"/>
      <c r="N89" s="181"/>
      <c r="O89" s="181"/>
      <c r="P89" s="181"/>
    </row>
    <row r="90" spans="1:16" ht="14.25" customHeight="1">
      <c r="B90" s="156" t="str">
        <v/>
      </c>
      <c r="C90" s="169"/>
      <c r="D90" s="169"/>
      <c r="E90" s="169"/>
      <c r="F90" s="169"/>
      <c r="G90" s="169"/>
      <c r="H90" s="169"/>
      <c r="I90" s="181"/>
      <c r="J90" s="181"/>
      <c r="K90" s="181"/>
      <c r="L90" s="181"/>
      <c r="M90" s="181"/>
      <c r="N90" s="181"/>
      <c r="O90" s="181"/>
      <c r="P90" s="181"/>
    </row>
    <row r="91" spans="1:16" ht="14.25" customHeight="1">
      <c r="B91" s="156" t="str">
        <v/>
      </c>
      <c r="C91" s="169"/>
      <c r="D91" s="169"/>
      <c r="E91" s="169"/>
      <c r="F91" s="169"/>
      <c r="G91" s="169"/>
      <c r="H91" s="169"/>
      <c r="I91" s="181"/>
      <c r="J91" s="181"/>
      <c r="K91" s="181"/>
      <c r="L91" s="181"/>
      <c r="M91" s="181"/>
      <c r="N91" s="181"/>
      <c r="O91" s="181"/>
      <c r="P91" s="181"/>
    </row>
    <row r="92" spans="1:16" ht="14.25" customHeight="1">
      <c r="B92" s="156" t="str">
        <v/>
      </c>
      <c r="C92" s="169"/>
      <c r="D92" s="169"/>
      <c r="E92" s="169"/>
      <c r="F92" s="169"/>
      <c r="G92" s="169"/>
      <c r="H92" s="169"/>
      <c r="I92" s="181"/>
      <c r="J92" s="181"/>
      <c r="K92" s="181"/>
      <c r="L92" s="181"/>
      <c r="M92" s="181"/>
      <c r="N92" s="181"/>
      <c r="O92" s="181"/>
      <c r="P92" s="181"/>
    </row>
    <row r="93" spans="1:16" ht="14.25" customHeight="1">
      <c r="B93" s="156" t="str">
        <v/>
      </c>
      <c r="C93" s="169"/>
      <c r="D93" s="169"/>
      <c r="E93" s="169"/>
      <c r="F93" s="169"/>
      <c r="G93" s="169"/>
      <c r="H93" s="169"/>
      <c r="I93" s="181"/>
      <c r="J93" s="181"/>
      <c r="K93" s="181"/>
      <c r="L93" s="181"/>
      <c r="M93" s="181"/>
      <c r="N93" s="181"/>
      <c r="O93" s="181"/>
      <c r="P93" s="181"/>
    </row>
    <row r="94" spans="1:16" ht="14.25" customHeight="1">
      <c r="B94" s="156" t="str">
        <v/>
      </c>
      <c r="C94" s="169"/>
      <c r="D94" s="169"/>
      <c r="E94" s="169"/>
      <c r="F94" s="169"/>
      <c r="G94" s="169"/>
      <c r="H94" s="169"/>
      <c r="I94" s="181"/>
      <c r="J94" s="181"/>
      <c r="K94" s="181"/>
      <c r="L94" s="181"/>
      <c r="M94" s="181"/>
      <c r="N94" s="181"/>
      <c r="O94" s="181"/>
      <c r="P94" s="181"/>
    </row>
    <row r="95" spans="1:16" ht="14.25" customHeight="1">
      <c r="B95" s="156" t="str">
        <v/>
      </c>
      <c r="C95" s="169"/>
      <c r="D95" s="169"/>
      <c r="E95" s="169"/>
      <c r="F95" s="169"/>
      <c r="G95" s="169"/>
      <c r="H95" s="169"/>
      <c r="I95" s="181"/>
      <c r="J95" s="181"/>
      <c r="K95" s="181"/>
      <c r="L95" s="181"/>
      <c r="M95" s="181"/>
      <c r="N95" s="181"/>
      <c r="O95" s="181"/>
      <c r="P95" s="181"/>
    </row>
    <row r="96" spans="1:16" ht="14.25" customHeight="1">
      <c r="B96" s="156" t="str">
        <v/>
      </c>
      <c r="C96" s="169"/>
      <c r="D96" s="169"/>
      <c r="E96" s="169"/>
      <c r="F96" s="169"/>
      <c r="G96" s="169"/>
      <c r="H96" s="169"/>
      <c r="I96" s="181"/>
      <c r="J96" s="181"/>
      <c r="K96" s="181"/>
      <c r="L96" s="181"/>
      <c r="M96" s="181"/>
      <c r="N96" s="181"/>
      <c r="O96" s="181"/>
      <c r="P96" s="181"/>
    </row>
    <row r="97" spans="1:16" ht="14.25" customHeight="1">
      <c r="B97" s="156" t="str">
        <v/>
      </c>
      <c r="C97" s="169"/>
      <c r="D97" s="169"/>
      <c r="E97" s="169"/>
      <c r="F97" s="169"/>
      <c r="G97" s="169"/>
      <c r="H97" s="169"/>
      <c r="I97" s="181"/>
      <c r="J97" s="181"/>
      <c r="K97" s="181"/>
      <c r="L97" s="181"/>
      <c r="M97" s="181"/>
      <c r="N97" s="181"/>
      <c r="O97" s="181"/>
      <c r="P97" s="181"/>
    </row>
    <row r="98" spans="1:16" ht="14.25" customHeight="1">
      <c r="B98" s="156" t="str">
        <v/>
      </c>
      <c r="C98" s="169"/>
      <c r="D98" s="169"/>
      <c r="E98" s="169"/>
      <c r="F98" s="169"/>
      <c r="G98" s="169"/>
      <c r="H98" s="169"/>
      <c r="I98" s="181"/>
      <c r="J98" s="181"/>
      <c r="K98" s="181"/>
      <c r="L98" s="181"/>
      <c r="M98" s="181"/>
      <c r="N98" s="181"/>
      <c r="O98" s="181"/>
      <c r="P98" s="181"/>
    </row>
    <row r="99" spans="1:16" ht="14.25" customHeight="1">
      <c r="B99" s="156" t="str">
        <v/>
      </c>
      <c r="C99" s="169"/>
      <c r="D99" s="169"/>
      <c r="E99" s="169"/>
      <c r="F99" s="169"/>
      <c r="G99" s="169"/>
      <c r="H99" s="169"/>
      <c r="I99" s="181"/>
      <c r="J99" s="181"/>
      <c r="K99" s="181"/>
      <c r="L99" s="181"/>
      <c r="M99" s="181"/>
      <c r="N99" s="181"/>
      <c r="O99" s="181"/>
      <c r="P99" s="181"/>
    </row>
    <row r="100" spans="1:16" ht="14.25" customHeight="1">
      <c r="B100" s="156" t="str">
        <v/>
      </c>
      <c r="C100" s="169"/>
      <c r="D100" s="169"/>
      <c r="E100" s="169"/>
      <c r="F100" s="169"/>
      <c r="G100" s="169"/>
      <c r="H100" s="169"/>
      <c r="I100" s="181"/>
      <c r="J100" s="181"/>
      <c r="K100" s="181"/>
      <c r="L100" s="181"/>
      <c r="M100" s="181"/>
      <c r="N100" s="181"/>
      <c r="O100" s="181"/>
      <c r="P100" s="181"/>
    </row>
    <row r="101" spans="1:16" ht="14.25" customHeight="1">
      <c r="B101" s="156" t="str">
        <v/>
      </c>
      <c r="C101" s="169"/>
      <c r="D101" s="169"/>
      <c r="E101" s="169"/>
      <c r="F101" s="169"/>
      <c r="G101" s="169"/>
      <c r="H101" s="169"/>
      <c r="I101" s="181"/>
      <c r="J101" s="181"/>
      <c r="K101" s="181"/>
      <c r="L101" s="181"/>
      <c r="M101" s="181"/>
      <c r="N101" s="181"/>
      <c r="O101" s="181"/>
      <c r="P101" s="181"/>
    </row>
    <row r="102" spans="1:16" ht="14.25" customHeight="1">
      <c r="B102" s="156" t="str">
        <v/>
      </c>
      <c r="C102" s="169"/>
      <c r="D102" s="169"/>
      <c r="E102" s="169"/>
      <c r="F102" s="169"/>
      <c r="G102" s="169"/>
      <c r="H102" s="169"/>
      <c r="I102" s="181"/>
      <c r="J102" s="181"/>
      <c r="K102" s="181"/>
      <c r="L102" s="181"/>
      <c r="M102" s="181"/>
      <c r="N102" s="181"/>
      <c r="O102" s="181"/>
      <c r="P102" s="181"/>
    </row>
    <row r="103" spans="1:16" ht="14.25" customHeight="1">
      <c r="B103" s="156" t="str">
        <v/>
      </c>
      <c r="C103" s="169"/>
      <c r="D103" s="169"/>
      <c r="E103" s="169"/>
      <c r="F103" s="169"/>
      <c r="G103" s="169"/>
      <c r="H103" s="169"/>
      <c r="I103" s="181"/>
      <c r="J103" s="181"/>
      <c r="K103" s="181"/>
      <c r="L103" s="181"/>
      <c r="M103" s="181"/>
      <c r="N103" s="181"/>
      <c r="O103" s="181"/>
      <c r="P103" s="181"/>
    </row>
    <row r="104" spans="1:16" ht="14.25" customHeight="1">
      <c r="B104" s="156" t="str">
        <v/>
      </c>
      <c r="C104" s="169"/>
      <c r="D104" s="169"/>
      <c r="E104" s="169"/>
      <c r="F104" s="169"/>
      <c r="G104" s="169"/>
      <c r="H104" s="169"/>
      <c r="I104" s="181"/>
      <c r="J104" s="181"/>
      <c r="K104" s="181"/>
      <c r="L104" s="181"/>
      <c r="M104" s="181"/>
      <c r="N104" s="181"/>
      <c r="O104" s="181"/>
      <c r="P104" s="181"/>
    </row>
    <row r="105" spans="1:16" ht="14.25" customHeight="1">
      <c r="B105" s="156" t="str">
        <v/>
      </c>
      <c r="C105" s="169"/>
      <c r="D105" s="169"/>
      <c r="E105" s="169"/>
      <c r="F105" s="169"/>
      <c r="G105" s="169"/>
      <c r="H105" s="169"/>
      <c r="I105" s="181"/>
      <c r="J105" s="181"/>
      <c r="K105" s="181"/>
      <c r="L105" s="181"/>
      <c r="M105" s="181"/>
      <c r="N105" s="181"/>
      <c r="O105" s="181"/>
      <c r="P105" s="181"/>
    </row>
    <row r="106" spans="1:16" ht="14.25" customHeight="1">
      <c r="B106" s="156" t="str">
        <v/>
      </c>
      <c r="C106" s="169"/>
      <c r="D106" s="169"/>
      <c r="E106" s="169"/>
      <c r="F106" s="169"/>
      <c r="G106" s="169"/>
      <c r="H106" s="169"/>
      <c r="I106" s="181"/>
      <c r="J106" s="181"/>
      <c r="K106" s="181"/>
      <c r="L106" s="181"/>
      <c r="M106" s="181"/>
      <c r="N106" s="181"/>
      <c r="O106" s="181"/>
      <c r="P106" s="181"/>
    </row>
    <row r="107" spans="1:16" ht="42">
      <c r="A107" s="183" t="s">
        <v>17</v>
      </c>
      <c r="B107" s="167" t="str">
        <f>IF(COUNTBLANK($B108:$B127)=20,"No Nomination Committee","")</f>
        <v>No Nomination Committee</v>
      </c>
      <c r="C107" s="168" t="s">
        <v>1323</v>
      </c>
      <c r="D107" s="168" t="s">
        <v>1324</v>
      </c>
      <c r="E107" s="168" t="s">
        <v>878</v>
      </c>
      <c r="F107" s="168" t="s">
        <v>879</v>
      </c>
      <c r="G107" s="168" t="s">
        <v>38</v>
      </c>
      <c r="H107" s="168" t="s">
        <v>39</v>
      </c>
      <c r="I107" s="168" t="s">
        <v>40</v>
      </c>
      <c r="J107" s="168" t="s">
        <v>41</v>
      </c>
      <c r="K107" s="168" t="s">
        <v>42</v>
      </c>
      <c r="L107" s="168" t="s">
        <v>43</v>
      </c>
      <c r="M107" s="168" t="s">
        <v>44</v>
      </c>
      <c r="N107" s="168" t="s">
        <v>45</v>
      </c>
      <c r="O107" s="168" t="s">
        <v>46</v>
      </c>
      <c r="P107" s="168" t="s">
        <v>47</v>
      </c>
    </row>
    <row r="108" spans="1:16" ht="14.25" customHeight="1">
      <c r="B108" s="156" t="str">
        <f t="array" ref="B108:B127">IF(1*($L$3:$L$22="M")+($L$3:$L$22="C")*1,$B$3:$B$22,"")</f>
        <v/>
      </c>
      <c r="C108" s="169"/>
      <c r="D108" s="169"/>
      <c r="E108" s="169"/>
      <c r="F108" s="169"/>
      <c r="G108" s="169"/>
      <c r="H108" s="169"/>
      <c r="I108" s="181"/>
      <c r="J108" s="181"/>
      <c r="K108" s="181"/>
      <c r="L108" s="181"/>
      <c r="M108" s="181"/>
      <c r="N108" s="181"/>
      <c r="O108" s="181"/>
      <c r="P108" s="181"/>
    </row>
    <row r="109" spans="1:16" ht="14.25" customHeight="1">
      <c r="B109" s="156" t="str">
        <v/>
      </c>
      <c r="C109" s="169"/>
      <c r="D109" s="169"/>
      <c r="E109" s="169"/>
      <c r="F109" s="169"/>
      <c r="G109" s="169"/>
      <c r="H109" s="169"/>
      <c r="I109" s="181"/>
      <c r="J109" s="181"/>
      <c r="K109" s="181"/>
      <c r="L109" s="181"/>
      <c r="M109" s="181"/>
      <c r="N109" s="181"/>
      <c r="O109" s="181"/>
      <c r="P109" s="181"/>
    </row>
    <row r="110" spans="1:16" ht="14.25" customHeight="1">
      <c r="B110" s="156" t="str">
        <v/>
      </c>
      <c r="C110" s="169"/>
      <c r="D110" s="169"/>
      <c r="E110" s="169"/>
      <c r="F110" s="169"/>
      <c r="G110" s="169"/>
      <c r="H110" s="169"/>
      <c r="I110" s="181"/>
      <c r="J110" s="181"/>
      <c r="K110" s="181"/>
      <c r="L110" s="181"/>
      <c r="M110" s="181"/>
      <c r="N110" s="181"/>
      <c r="O110" s="181"/>
      <c r="P110" s="181"/>
    </row>
    <row r="111" spans="1:16" ht="14.25" customHeight="1">
      <c r="B111" s="156" t="str">
        <v/>
      </c>
      <c r="C111" s="169"/>
      <c r="D111" s="169"/>
      <c r="E111" s="169"/>
      <c r="F111" s="169"/>
      <c r="G111" s="169"/>
      <c r="H111" s="169"/>
      <c r="I111" s="181"/>
      <c r="J111" s="181"/>
      <c r="K111" s="181"/>
      <c r="L111" s="181"/>
      <c r="M111" s="181"/>
      <c r="N111" s="181"/>
      <c r="O111" s="181"/>
      <c r="P111" s="181"/>
    </row>
    <row r="112" spans="1:16" ht="14.25" customHeight="1">
      <c r="B112" s="156" t="str">
        <v/>
      </c>
      <c r="C112" s="169"/>
      <c r="D112" s="169"/>
      <c r="E112" s="169"/>
      <c r="F112" s="169"/>
      <c r="G112" s="169"/>
      <c r="H112" s="169"/>
      <c r="I112" s="181"/>
      <c r="J112" s="181"/>
      <c r="K112" s="181"/>
      <c r="L112" s="181"/>
      <c r="M112" s="181"/>
      <c r="N112" s="181"/>
      <c r="O112" s="181"/>
      <c r="P112" s="181"/>
    </row>
    <row r="113" spans="2:16" s="132" customFormat="1" ht="14.25" customHeight="1">
      <c r="B113" s="156" t="str">
        <v/>
      </c>
      <c r="C113" s="169"/>
      <c r="D113" s="169"/>
      <c r="E113" s="169"/>
      <c r="F113" s="169"/>
      <c r="G113" s="169"/>
      <c r="H113" s="169"/>
      <c r="I113" s="181"/>
      <c r="J113" s="181"/>
      <c r="K113" s="181"/>
      <c r="L113" s="181"/>
      <c r="M113" s="181"/>
      <c r="N113" s="181"/>
      <c r="O113" s="181"/>
      <c r="P113" s="181"/>
    </row>
    <row r="114" spans="2:16" s="132" customFormat="1" ht="14.25" customHeight="1">
      <c r="B114" s="156" t="str">
        <v/>
      </c>
      <c r="C114" s="169"/>
      <c r="D114" s="169"/>
      <c r="E114" s="169"/>
      <c r="F114" s="169"/>
      <c r="G114" s="169"/>
      <c r="H114" s="169"/>
      <c r="I114" s="181"/>
      <c r="J114" s="181"/>
      <c r="K114" s="181"/>
      <c r="L114" s="181"/>
      <c r="M114" s="181"/>
      <c r="N114" s="181"/>
      <c r="O114" s="181"/>
      <c r="P114" s="181"/>
    </row>
    <row r="115" spans="2:16" s="132" customFormat="1" ht="14.25" customHeight="1">
      <c r="B115" s="156" t="str">
        <v/>
      </c>
      <c r="C115" s="169"/>
      <c r="D115" s="169"/>
      <c r="E115" s="169"/>
      <c r="F115" s="169"/>
      <c r="G115" s="169"/>
      <c r="H115" s="169"/>
      <c r="I115" s="181"/>
      <c r="J115" s="181"/>
      <c r="K115" s="181"/>
      <c r="L115" s="181"/>
      <c r="M115" s="181"/>
      <c r="N115" s="181"/>
      <c r="O115" s="181"/>
      <c r="P115" s="181"/>
    </row>
    <row r="116" spans="2:16" s="132" customFormat="1" ht="14.25" customHeight="1">
      <c r="B116" s="156" t="str">
        <v/>
      </c>
      <c r="C116" s="169"/>
      <c r="D116" s="169"/>
      <c r="E116" s="169"/>
      <c r="F116" s="169"/>
      <c r="G116" s="169"/>
      <c r="H116" s="169"/>
      <c r="I116" s="181"/>
      <c r="J116" s="181"/>
      <c r="K116" s="181"/>
      <c r="L116" s="181"/>
      <c r="M116" s="181"/>
      <c r="N116" s="181"/>
      <c r="O116" s="181"/>
      <c r="P116" s="181"/>
    </row>
    <row r="117" spans="2:16" s="132" customFormat="1" ht="14.25" customHeight="1">
      <c r="B117" s="156" t="str">
        <v/>
      </c>
      <c r="C117" s="169"/>
      <c r="D117" s="169"/>
      <c r="E117" s="169"/>
      <c r="F117" s="169"/>
      <c r="G117" s="169"/>
      <c r="H117" s="169"/>
      <c r="I117" s="181"/>
      <c r="J117" s="181"/>
      <c r="K117" s="181"/>
      <c r="L117" s="181"/>
      <c r="M117" s="181"/>
      <c r="N117" s="181"/>
      <c r="O117" s="181"/>
      <c r="P117" s="181"/>
    </row>
    <row r="118" spans="2:16" s="132" customFormat="1" ht="14.25" customHeight="1">
      <c r="B118" s="156" t="str">
        <v/>
      </c>
      <c r="C118" s="169"/>
      <c r="D118" s="169"/>
      <c r="E118" s="169"/>
      <c r="F118" s="169"/>
      <c r="G118" s="169"/>
      <c r="H118" s="169"/>
      <c r="I118" s="181"/>
      <c r="J118" s="181"/>
      <c r="K118" s="181"/>
      <c r="L118" s="181"/>
      <c r="M118" s="181"/>
      <c r="N118" s="181"/>
      <c r="O118" s="181"/>
      <c r="P118" s="181"/>
    </row>
    <row r="119" spans="2:16" s="132" customFormat="1" ht="14.25" customHeight="1">
      <c r="B119" s="156" t="str">
        <v/>
      </c>
      <c r="C119" s="169"/>
      <c r="D119" s="169"/>
      <c r="E119" s="169"/>
      <c r="F119" s="169"/>
      <c r="G119" s="169"/>
      <c r="H119" s="169"/>
      <c r="I119" s="181"/>
      <c r="J119" s="181"/>
      <c r="K119" s="181"/>
      <c r="L119" s="181"/>
      <c r="M119" s="181"/>
      <c r="N119" s="181"/>
      <c r="O119" s="181"/>
      <c r="P119" s="181"/>
    </row>
    <row r="120" spans="2:16" s="132" customFormat="1" ht="14.25" customHeight="1">
      <c r="B120" s="156" t="str">
        <v/>
      </c>
      <c r="C120" s="169"/>
      <c r="D120" s="169"/>
      <c r="E120" s="169"/>
      <c r="F120" s="169"/>
      <c r="G120" s="169"/>
      <c r="H120" s="169"/>
      <c r="I120" s="181"/>
      <c r="J120" s="181"/>
      <c r="K120" s="181"/>
      <c r="L120" s="181"/>
      <c r="M120" s="181"/>
      <c r="N120" s="181"/>
      <c r="O120" s="181"/>
      <c r="P120" s="181"/>
    </row>
    <row r="121" spans="2:16" s="132" customFormat="1" ht="14.25" customHeight="1">
      <c r="B121" s="156" t="str">
        <v/>
      </c>
      <c r="C121" s="169"/>
      <c r="D121" s="169"/>
      <c r="E121" s="169"/>
      <c r="F121" s="169"/>
      <c r="G121" s="169"/>
      <c r="H121" s="169"/>
      <c r="I121" s="181"/>
      <c r="J121" s="181"/>
      <c r="K121" s="181"/>
      <c r="L121" s="181"/>
      <c r="M121" s="181"/>
      <c r="N121" s="181"/>
      <c r="O121" s="181"/>
      <c r="P121" s="181"/>
    </row>
    <row r="122" spans="2:16" s="132" customFormat="1" ht="14.25" customHeight="1">
      <c r="B122" s="170" t="str">
        <v/>
      </c>
      <c r="C122" s="171"/>
      <c r="D122" s="171"/>
      <c r="E122" s="169"/>
      <c r="F122" s="169"/>
      <c r="G122" s="169"/>
      <c r="H122" s="169"/>
      <c r="I122" s="181"/>
      <c r="J122" s="181"/>
      <c r="K122" s="181"/>
      <c r="L122" s="181"/>
      <c r="M122" s="181"/>
      <c r="N122" s="181"/>
      <c r="O122" s="181"/>
      <c r="P122" s="181"/>
    </row>
    <row r="123" spans="2:16" s="132" customFormat="1" ht="14.25" customHeight="1">
      <c r="B123" s="156" t="str">
        <v/>
      </c>
      <c r="C123" s="169"/>
      <c r="D123" s="169"/>
      <c r="E123" s="169"/>
      <c r="F123" s="169"/>
      <c r="G123" s="169"/>
      <c r="H123" s="169"/>
      <c r="I123" s="181"/>
      <c r="J123" s="181"/>
      <c r="K123" s="181"/>
      <c r="L123" s="181"/>
      <c r="M123" s="181"/>
      <c r="N123" s="181"/>
      <c r="O123" s="181"/>
      <c r="P123" s="181"/>
    </row>
    <row r="124" spans="2:16" s="132" customFormat="1" ht="14.25" customHeight="1">
      <c r="B124" s="156" t="str">
        <v/>
      </c>
      <c r="C124" s="169"/>
      <c r="D124" s="169"/>
      <c r="E124" s="169"/>
      <c r="F124" s="169"/>
      <c r="G124" s="169"/>
      <c r="H124" s="169"/>
      <c r="I124" s="181"/>
      <c r="J124" s="181"/>
      <c r="K124" s="181"/>
      <c r="L124" s="181"/>
      <c r="M124" s="181"/>
      <c r="N124" s="181"/>
      <c r="O124" s="181"/>
      <c r="P124" s="181"/>
    </row>
    <row r="125" spans="2:16" s="132" customFormat="1" ht="14.25" customHeight="1">
      <c r="B125" s="156" t="str">
        <v/>
      </c>
      <c r="C125" s="169"/>
      <c r="D125" s="169"/>
      <c r="E125" s="169"/>
      <c r="F125" s="169"/>
      <c r="G125" s="169"/>
      <c r="H125" s="169"/>
      <c r="I125" s="181"/>
      <c r="J125" s="181"/>
      <c r="K125" s="181"/>
      <c r="L125" s="181"/>
      <c r="M125" s="181"/>
      <c r="N125" s="181"/>
      <c r="O125" s="181"/>
      <c r="P125" s="181"/>
    </row>
    <row r="126" spans="2:16" s="132" customFormat="1" ht="14.25" customHeight="1">
      <c r="B126" s="156" t="str">
        <v/>
      </c>
      <c r="C126" s="169"/>
      <c r="D126" s="169"/>
      <c r="E126" s="169"/>
      <c r="F126" s="169"/>
      <c r="G126" s="169"/>
      <c r="H126" s="169"/>
      <c r="I126" s="181"/>
      <c r="J126" s="181"/>
      <c r="K126" s="181"/>
      <c r="L126" s="181"/>
      <c r="M126" s="181"/>
      <c r="N126" s="181"/>
      <c r="O126" s="181"/>
      <c r="P126" s="181"/>
    </row>
    <row r="127" spans="2:16" s="132" customFormat="1" ht="14.25" customHeight="1">
      <c r="B127" s="156" t="str">
        <v/>
      </c>
      <c r="C127" s="169"/>
      <c r="D127" s="169"/>
      <c r="E127" s="169"/>
      <c r="F127" s="169"/>
      <c r="G127" s="169"/>
      <c r="H127" s="169"/>
      <c r="I127" s="181"/>
      <c r="J127" s="181"/>
      <c r="K127" s="181"/>
      <c r="L127" s="181"/>
      <c r="M127" s="181"/>
      <c r="N127" s="181"/>
      <c r="O127" s="181"/>
      <c r="P127" s="181"/>
    </row>
    <row r="128" spans="2:16" s="132" customFormat="1" ht="14.25" customHeight="1"/>
    <row r="130" spans="1:14" ht="28">
      <c r="A130" s="186" t="s">
        <v>125</v>
      </c>
      <c r="B130" s="174"/>
      <c r="C130" s="175" t="s">
        <v>1325</v>
      </c>
      <c r="D130" s="175" t="s">
        <v>880</v>
      </c>
      <c r="E130" s="175" t="s">
        <v>183</v>
      </c>
      <c r="F130" s="175" t="s">
        <v>184</v>
      </c>
      <c r="G130" s="175" t="s">
        <v>185</v>
      </c>
      <c r="H130" s="175" t="s">
        <v>186</v>
      </c>
      <c r="I130" s="175" t="s">
        <v>187</v>
      </c>
      <c r="K130" s="434"/>
      <c r="L130" s="435"/>
      <c r="M130" s="436"/>
      <c r="N130" s="436"/>
    </row>
    <row r="131" spans="1:14" ht="14.25" customHeight="1">
      <c r="A131" s="187"/>
      <c r="B131" s="174" t="s">
        <v>131</v>
      </c>
      <c r="C131" s="169">
        <v>15.3</v>
      </c>
      <c r="D131" s="169">
        <v>56.37</v>
      </c>
      <c r="E131" s="169">
        <v>29.47</v>
      </c>
      <c r="F131" s="169">
        <v>-186.04</v>
      </c>
      <c r="G131" s="169">
        <v>154.66999999999999</v>
      </c>
      <c r="H131" s="169">
        <v>85.05</v>
      </c>
      <c r="I131" s="169"/>
      <c r="K131" s="434"/>
      <c r="L131" s="435"/>
      <c r="M131" s="436"/>
      <c r="N131" s="436"/>
    </row>
    <row r="132" spans="1:14" ht="14.25" customHeight="1">
      <c r="B132" s="174" t="s">
        <v>134</v>
      </c>
      <c r="C132" s="169">
        <v>0.19</v>
      </c>
      <c r="D132" s="169">
        <v>0.09</v>
      </c>
      <c r="E132" s="169">
        <v>0.09</v>
      </c>
      <c r="F132" s="169">
        <v>0.1</v>
      </c>
      <c r="G132" s="169">
        <v>0.15</v>
      </c>
      <c r="H132" s="169">
        <v>0.15</v>
      </c>
      <c r="I132" s="169"/>
      <c r="K132" s="434"/>
      <c r="L132" s="435"/>
      <c r="M132" s="436"/>
      <c r="N132" s="436"/>
    </row>
    <row r="133" spans="1:14" ht="14.25" customHeight="1">
      <c r="B133" s="174" t="s">
        <v>135</v>
      </c>
      <c r="C133" s="169">
        <v>0.12039999999999999</v>
      </c>
      <c r="D133" s="420">
        <v>4.5999999999999999E-2</v>
      </c>
      <c r="E133" s="169">
        <v>4.5900000000000003E-2</v>
      </c>
      <c r="F133" s="169">
        <v>4.9200000000000001E-2</v>
      </c>
      <c r="G133" s="169">
        <v>4.8099999999999997E-2</v>
      </c>
      <c r="H133" s="169">
        <v>4.6199999999999998E-2</v>
      </c>
      <c r="I133" s="169"/>
      <c r="K133" s="434"/>
      <c r="L133" s="435"/>
      <c r="M133" s="436"/>
      <c r="N133" s="436"/>
    </row>
    <row r="134" spans="1:14" ht="14.25" customHeight="1">
      <c r="B134" s="174" t="s">
        <v>188</v>
      </c>
      <c r="C134" s="169">
        <v>1.4999999999999999E-2</v>
      </c>
      <c r="D134" s="169">
        <v>2.75E-2</v>
      </c>
      <c r="E134" s="169">
        <v>3.5000000000000003E-2</v>
      </c>
      <c r="F134" s="169">
        <v>4.7800000000000002E-2</v>
      </c>
      <c r="G134" s="169">
        <v>0.18149999999999999</v>
      </c>
      <c r="H134" s="169">
        <v>0.1731</v>
      </c>
      <c r="I134" s="169"/>
      <c r="K134" s="434"/>
      <c r="L134" s="435"/>
      <c r="M134" s="436"/>
      <c r="N134" s="436"/>
    </row>
    <row r="135" spans="1:14" ht="14.25" customHeight="1">
      <c r="B135" s="174" t="s">
        <v>189</v>
      </c>
      <c r="C135" s="315">
        <f>SUM(C132:C134)</f>
        <v>0.32540000000000002</v>
      </c>
      <c r="D135" s="315">
        <f t="shared" ref="D135:H135" si="1">SUM(D132:D134)</f>
        <v>0.16350000000000001</v>
      </c>
      <c r="E135" s="315">
        <f t="shared" si="1"/>
        <v>0.1709</v>
      </c>
      <c r="F135" s="315">
        <f t="shared" si="1"/>
        <v>0.19700000000000001</v>
      </c>
      <c r="G135" s="315">
        <f t="shared" si="1"/>
        <v>0.37959999999999999</v>
      </c>
      <c r="H135" s="315">
        <f t="shared" si="1"/>
        <v>0.36929999999999996</v>
      </c>
      <c r="I135" s="315">
        <f>SUM(I132:I134)</f>
        <v>0</v>
      </c>
    </row>
    <row r="136" spans="1:14" ht="14.25" customHeight="1">
      <c r="B136" s="174" t="s">
        <v>128</v>
      </c>
      <c r="C136" s="182"/>
      <c r="D136" s="182"/>
      <c r="E136" s="181"/>
      <c r="F136" s="181"/>
      <c r="G136" s="181"/>
      <c r="H136" s="181"/>
      <c r="I136" s="181"/>
    </row>
    <row r="137" spans="1:14" ht="14.25" customHeight="1">
      <c r="B137" s="174" t="s">
        <v>126</v>
      </c>
      <c r="C137" s="182"/>
      <c r="D137" s="182"/>
      <c r="E137" s="182"/>
      <c r="F137" s="182"/>
      <c r="G137" s="182"/>
      <c r="H137" s="182"/>
      <c r="I137" s="182"/>
    </row>
    <row r="138" spans="1:14" ht="14.25" customHeight="1">
      <c r="B138" s="174" t="s">
        <v>127</v>
      </c>
      <c r="C138" s="166">
        <v>336345679</v>
      </c>
      <c r="D138" s="166">
        <v>341838710</v>
      </c>
      <c r="E138" s="166">
        <v>350449220</v>
      </c>
      <c r="F138" s="166">
        <v>70834579</v>
      </c>
      <c r="G138" s="166" t="s">
        <v>881</v>
      </c>
      <c r="H138" s="166" t="s">
        <v>881</v>
      </c>
      <c r="I138" s="166"/>
    </row>
    <row r="139" spans="1:14" s="441" customFormat="1" ht="14.25" customHeight="1">
      <c r="A139" s="438"/>
      <c r="B139" s="439"/>
      <c r="C139" s="440"/>
      <c r="D139" s="440"/>
      <c r="E139" s="440"/>
      <c r="F139" s="440"/>
      <c r="G139" s="440"/>
      <c r="H139" s="440"/>
      <c r="I139" s="440"/>
    </row>
    <row r="140" spans="1:14" s="441" customFormat="1" ht="14.25" customHeight="1">
      <c r="A140" s="186" t="s">
        <v>1388</v>
      </c>
      <c r="B140" s="156" t="s">
        <v>1389</v>
      </c>
      <c r="C140" s="442" t="s">
        <v>1390</v>
      </c>
      <c r="D140" s="442"/>
      <c r="E140" s="440"/>
      <c r="F140" s="440"/>
      <c r="G140" s="440"/>
      <c r="H140" s="440"/>
      <c r="I140" s="440"/>
    </row>
    <row r="141" spans="1:14" s="441" customFormat="1" ht="14.25" customHeight="1">
      <c r="A141" s="184"/>
      <c r="B141" s="156" t="s">
        <v>1391</v>
      </c>
      <c r="C141" s="442" t="s">
        <v>1392</v>
      </c>
      <c r="D141" s="442"/>
      <c r="E141" s="440"/>
      <c r="F141" s="440"/>
      <c r="G141" s="440"/>
      <c r="H141" s="440"/>
      <c r="I141" s="440"/>
    </row>
    <row r="142" spans="1:14" s="441" customFormat="1" ht="14.25" customHeight="1">
      <c r="A142" s="184"/>
      <c r="B142" s="156" t="s">
        <v>1393</v>
      </c>
      <c r="C142" s="442">
        <v>3</v>
      </c>
      <c r="D142" s="442"/>
      <c r="E142" s="440"/>
      <c r="F142" s="440"/>
      <c r="G142" s="440"/>
      <c r="H142" s="440"/>
      <c r="I142" s="440"/>
    </row>
    <row r="143" spans="1:14" s="441" customFormat="1" ht="14.25" customHeight="1">
      <c r="A143" s="184"/>
      <c r="B143" s="156" t="s">
        <v>1394</v>
      </c>
      <c r="C143" s="442" t="s">
        <v>1395</v>
      </c>
      <c r="D143" s="442"/>
      <c r="E143" s="440"/>
      <c r="F143" s="440"/>
      <c r="G143" s="440"/>
      <c r="H143" s="440"/>
      <c r="I143" s="440"/>
    </row>
    <row r="144" spans="1:14" s="441" customFormat="1" ht="14.25" customHeight="1">
      <c r="A144" s="184"/>
      <c r="B144" s="156" t="s">
        <v>1396</v>
      </c>
      <c r="C144" s="442">
        <v>3</v>
      </c>
      <c r="D144" s="442"/>
      <c r="E144" s="440"/>
      <c r="F144" s="440"/>
      <c r="G144" s="440"/>
      <c r="H144" s="440"/>
      <c r="I144" s="440"/>
    </row>
    <row r="145" spans="1:14" s="441" customFormat="1" ht="14.25" customHeight="1">
      <c r="A145" s="184"/>
      <c r="B145" s="443"/>
      <c r="C145" s="436"/>
      <c r="D145" s="436"/>
      <c r="E145" s="440"/>
      <c r="F145" s="440"/>
      <c r="G145" s="440"/>
      <c r="H145" s="440"/>
      <c r="I145" s="440"/>
    </row>
    <row r="146" spans="1:14" ht="14.25" customHeight="1">
      <c r="B146" s="132"/>
      <c r="C146" s="132"/>
      <c r="D146" s="132"/>
      <c r="E146" s="132"/>
      <c r="F146" s="132"/>
      <c r="G146" s="132"/>
      <c r="H146" s="132"/>
      <c r="I146" s="132"/>
    </row>
    <row r="147" spans="1:14" ht="28">
      <c r="A147" s="183" t="s">
        <v>1332</v>
      </c>
      <c r="B147" s="167" t="str">
        <f>IF(COUNTBLANK($B148:$B167)=20,"No CSR Committee","")</f>
        <v>No CSR Committee</v>
      </c>
      <c r="C147" s="168" t="s">
        <v>1323</v>
      </c>
      <c r="D147" s="168" t="s">
        <v>1324</v>
      </c>
      <c r="E147" s="168" t="s">
        <v>878</v>
      </c>
      <c r="F147" s="168" t="s">
        <v>879</v>
      </c>
      <c r="G147" s="168" t="s">
        <v>38</v>
      </c>
      <c r="H147" s="168" t="s">
        <v>39</v>
      </c>
      <c r="I147" s="168" t="s">
        <v>40</v>
      </c>
      <c r="J147" s="168" t="s">
        <v>41</v>
      </c>
      <c r="K147" s="168" t="s">
        <v>42</v>
      </c>
      <c r="L147" s="168" t="s">
        <v>43</v>
      </c>
      <c r="M147" s="168" t="s">
        <v>44</v>
      </c>
      <c r="N147" s="168" t="s">
        <v>45</v>
      </c>
    </row>
    <row r="148" spans="1:14" ht="14.25" customHeight="1">
      <c r="B148" s="156" t="str">
        <f t="array" ref="B148:B167">IF(1*($AF$3:$AF$22="M")+($AF$3:$AF$22="C")*1,$B$3:$B$22,"")</f>
        <v/>
      </c>
      <c r="C148" s="181"/>
      <c r="D148" s="181"/>
      <c r="E148" s="181"/>
      <c r="F148" s="181"/>
      <c r="G148" s="181"/>
      <c r="H148" s="181"/>
      <c r="I148" s="181"/>
      <c r="J148" s="181"/>
      <c r="K148" s="181"/>
      <c r="L148" s="181"/>
      <c r="M148" s="181"/>
      <c r="N148" s="181"/>
    </row>
    <row r="149" spans="1:14" ht="14.25" customHeight="1">
      <c r="B149" s="156" t="str">
        <v/>
      </c>
      <c r="C149" s="181"/>
      <c r="D149" s="181"/>
      <c r="E149" s="181"/>
      <c r="F149" s="181"/>
      <c r="G149" s="181"/>
      <c r="H149" s="181"/>
      <c r="I149" s="181"/>
      <c r="J149" s="181"/>
      <c r="K149" s="181"/>
      <c r="L149" s="181"/>
      <c r="M149" s="181"/>
      <c r="N149" s="181"/>
    </row>
    <row r="150" spans="1:14" ht="14.25" customHeight="1">
      <c r="B150" s="156" t="str">
        <v/>
      </c>
      <c r="C150" s="181"/>
      <c r="D150" s="181"/>
      <c r="E150" s="181"/>
      <c r="F150" s="181"/>
      <c r="G150" s="181"/>
      <c r="H150" s="181"/>
      <c r="I150" s="181"/>
      <c r="J150" s="181"/>
      <c r="K150" s="181"/>
      <c r="L150" s="181"/>
      <c r="M150" s="181"/>
      <c r="N150" s="181"/>
    </row>
    <row r="151" spans="1:14" ht="14.25" customHeight="1">
      <c r="B151" s="156" t="str">
        <v/>
      </c>
      <c r="C151" s="181"/>
      <c r="D151" s="181"/>
      <c r="E151" s="181"/>
      <c r="F151" s="181"/>
      <c r="G151" s="181"/>
      <c r="H151" s="181"/>
      <c r="I151" s="181"/>
      <c r="J151" s="181"/>
      <c r="K151" s="181"/>
      <c r="L151" s="181"/>
      <c r="M151" s="181"/>
      <c r="N151" s="181"/>
    </row>
    <row r="152" spans="1:14" ht="14.25" customHeight="1">
      <c r="B152" s="156" t="str">
        <v/>
      </c>
      <c r="C152" s="181"/>
      <c r="D152" s="181"/>
      <c r="E152" s="181"/>
      <c r="F152" s="181"/>
      <c r="G152" s="181"/>
      <c r="H152" s="181"/>
      <c r="I152" s="181"/>
      <c r="J152" s="181"/>
      <c r="K152" s="181"/>
      <c r="L152" s="181"/>
      <c r="M152" s="181"/>
      <c r="N152" s="181"/>
    </row>
    <row r="153" spans="1:14" ht="14.25" customHeight="1">
      <c r="A153" s="132"/>
      <c r="B153" s="156" t="str">
        <v/>
      </c>
      <c r="C153" s="181"/>
      <c r="D153" s="181"/>
      <c r="E153" s="181"/>
      <c r="F153" s="181"/>
      <c r="G153" s="181"/>
      <c r="H153" s="181"/>
      <c r="I153" s="181"/>
      <c r="J153" s="181"/>
      <c r="K153" s="181"/>
      <c r="L153" s="181"/>
      <c r="M153" s="181"/>
      <c r="N153" s="181"/>
    </row>
    <row r="154" spans="1:14" ht="14.25" customHeight="1">
      <c r="A154" s="132"/>
      <c r="B154" s="156" t="str">
        <v/>
      </c>
      <c r="C154" s="181"/>
      <c r="D154" s="181"/>
      <c r="E154" s="181"/>
      <c r="F154" s="181"/>
      <c r="G154" s="181"/>
      <c r="H154" s="181"/>
      <c r="I154" s="181"/>
      <c r="J154" s="181"/>
      <c r="K154" s="181"/>
      <c r="L154" s="181"/>
      <c r="M154" s="181"/>
      <c r="N154" s="181"/>
    </row>
    <row r="155" spans="1:14" ht="14.25" customHeight="1">
      <c r="A155" s="132"/>
      <c r="B155" s="156" t="str">
        <v/>
      </c>
      <c r="C155" s="181"/>
      <c r="D155" s="181"/>
      <c r="E155" s="181"/>
      <c r="F155" s="181"/>
      <c r="G155" s="181"/>
      <c r="H155" s="181"/>
      <c r="I155" s="181"/>
      <c r="J155" s="181"/>
      <c r="K155" s="181"/>
      <c r="L155" s="181"/>
      <c r="M155" s="181"/>
      <c r="N155" s="181"/>
    </row>
    <row r="156" spans="1:14" ht="14.25" customHeight="1">
      <c r="A156" s="132"/>
      <c r="B156" s="156" t="str">
        <v/>
      </c>
      <c r="C156" s="181"/>
      <c r="D156" s="181"/>
      <c r="E156" s="181"/>
      <c r="F156" s="181"/>
      <c r="G156" s="181"/>
      <c r="H156" s="181"/>
      <c r="I156" s="181"/>
      <c r="J156" s="181"/>
      <c r="K156" s="181"/>
      <c r="L156" s="181"/>
      <c r="M156" s="181"/>
      <c r="N156" s="181"/>
    </row>
    <row r="157" spans="1:14" ht="14.25" customHeight="1">
      <c r="A157" s="132"/>
      <c r="B157" s="156" t="str">
        <v/>
      </c>
      <c r="C157" s="181"/>
      <c r="D157" s="181"/>
      <c r="E157" s="181"/>
      <c r="F157" s="181"/>
      <c r="G157" s="181"/>
      <c r="H157" s="181"/>
      <c r="I157" s="181"/>
      <c r="J157" s="181"/>
      <c r="K157" s="181"/>
      <c r="L157" s="181"/>
      <c r="M157" s="181"/>
      <c r="N157" s="181"/>
    </row>
    <row r="158" spans="1:14" ht="14.25" customHeight="1">
      <c r="A158" s="132"/>
      <c r="B158" s="156" t="str">
        <v/>
      </c>
      <c r="C158" s="181"/>
      <c r="D158" s="181"/>
      <c r="E158" s="181"/>
      <c r="F158" s="181"/>
      <c r="G158" s="181"/>
      <c r="H158" s="181"/>
      <c r="I158" s="181"/>
      <c r="J158" s="181"/>
      <c r="K158" s="181"/>
      <c r="L158" s="181"/>
      <c r="M158" s="181"/>
      <c r="N158" s="181"/>
    </row>
    <row r="159" spans="1:14" ht="14.25" customHeight="1">
      <c r="A159" s="132"/>
      <c r="B159" s="156" t="str">
        <v/>
      </c>
      <c r="C159" s="181"/>
      <c r="D159" s="181"/>
      <c r="E159" s="181"/>
      <c r="F159" s="181"/>
      <c r="G159" s="181"/>
      <c r="H159" s="181"/>
      <c r="I159" s="181"/>
      <c r="J159" s="181"/>
      <c r="K159" s="181"/>
      <c r="L159" s="181"/>
      <c r="M159" s="181"/>
      <c r="N159" s="181"/>
    </row>
    <row r="160" spans="1:14" ht="14.25" customHeight="1">
      <c r="A160" s="132"/>
      <c r="B160" s="156" t="str">
        <v/>
      </c>
      <c r="C160" s="181"/>
      <c r="D160" s="181"/>
      <c r="E160" s="181"/>
      <c r="F160" s="181"/>
      <c r="G160" s="181"/>
      <c r="H160" s="181"/>
      <c r="I160" s="181"/>
      <c r="J160" s="181"/>
      <c r="K160" s="181"/>
      <c r="L160" s="181"/>
      <c r="M160" s="181"/>
      <c r="N160" s="181"/>
    </row>
    <row r="161" spans="1:14" ht="14.25" customHeight="1">
      <c r="A161" s="132"/>
      <c r="B161" s="156" t="str">
        <v/>
      </c>
      <c r="C161" s="181"/>
      <c r="D161" s="181"/>
      <c r="E161" s="181"/>
      <c r="F161" s="181"/>
      <c r="G161" s="181"/>
      <c r="H161" s="181"/>
      <c r="I161" s="181"/>
      <c r="J161" s="181"/>
      <c r="K161" s="181"/>
      <c r="L161" s="181"/>
      <c r="M161" s="181"/>
      <c r="N161" s="181"/>
    </row>
    <row r="162" spans="1:14" ht="14.25" customHeight="1">
      <c r="A162" s="132"/>
      <c r="B162" s="170" t="str">
        <v/>
      </c>
      <c r="C162" s="181"/>
      <c r="D162" s="181"/>
      <c r="E162" s="181"/>
      <c r="F162" s="181"/>
      <c r="G162" s="181"/>
      <c r="H162" s="181"/>
      <c r="I162" s="181"/>
      <c r="J162" s="181"/>
      <c r="K162" s="181"/>
      <c r="L162" s="181"/>
      <c r="M162" s="181"/>
      <c r="N162" s="181"/>
    </row>
    <row r="163" spans="1:14" ht="14.25" customHeight="1">
      <c r="A163" s="132"/>
      <c r="B163" s="156" t="str">
        <v/>
      </c>
      <c r="C163" s="181"/>
      <c r="D163" s="181"/>
      <c r="E163" s="181"/>
      <c r="F163" s="181"/>
      <c r="G163" s="181"/>
      <c r="H163" s="181"/>
      <c r="I163" s="181"/>
      <c r="J163" s="181"/>
      <c r="K163" s="181"/>
      <c r="L163" s="181"/>
      <c r="M163" s="181"/>
      <c r="N163" s="181"/>
    </row>
    <row r="164" spans="1:14" ht="14.25" customHeight="1">
      <c r="A164" s="132"/>
      <c r="B164" s="156" t="str">
        <v/>
      </c>
      <c r="C164" s="181"/>
      <c r="D164" s="181"/>
      <c r="E164" s="181"/>
      <c r="F164" s="181"/>
      <c r="G164" s="181"/>
      <c r="H164" s="181"/>
      <c r="I164" s="181"/>
      <c r="J164" s="181"/>
      <c r="K164" s="181"/>
      <c r="L164" s="181"/>
      <c r="M164" s="181"/>
      <c r="N164" s="181"/>
    </row>
    <row r="165" spans="1:14" ht="14.25" customHeight="1">
      <c r="A165" s="132"/>
      <c r="B165" s="156" t="str">
        <v/>
      </c>
      <c r="C165" s="181"/>
      <c r="D165" s="181"/>
      <c r="E165" s="181"/>
      <c r="F165" s="181"/>
      <c r="G165" s="181"/>
      <c r="H165" s="181"/>
      <c r="I165" s="181"/>
      <c r="J165" s="181"/>
      <c r="K165" s="181"/>
      <c r="L165" s="181"/>
      <c r="M165" s="181"/>
      <c r="N165" s="181"/>
    </row>
    <row r="166" spans="1:14" ht="14.25" customHeight="1">
      <c r="A166" s="132"/>
      <c r="B166" s="156" t="str">
        <v/>
      </c>
      <c r="C166" s="181"/>
      <c r="D166" s="181"/>
      <c r="E166" s="181"/>
      <c r="F166" s="181"/>
      <c r="G166" s="181"/>
      <c r="H166" s="181"/>
      <c r="I166" s="181"/>
      <c r="J166" s="181"/>
      <c r="K166" s="181"/>
      <c r="L166" s="181"/>
      <c r="M166" s="181"/>
      <c r="N166" s="181"/>
    </row>
    <row r="167" spans="1:14" ht="14.25" customHeight="1">
      <c r="A167" s="132"/>
      <c r="B167" s="156" t="str">
        <v/>
      </c>
      <c r="C167" s="181"/>
      <c r="D167" s="181"/>
      <c r="E167" s="181"/>
      <c r="F167" s="181"/>
      <c r="G167" s="181"/>
      <c r="H167" s="181"/>
      <c r="I167" s="181"/>
      <c r="J167" s="181"/>
      <c r="K167" s="181"/>
      <c r="L167" s="181"/>
      <c r="M167" s="181"/>
      <c r="N167" s="181"/>
    </row>
    <row r="169" spans="1:14" ht="28">
      <c r="A169" s="183" t="s">
        <v>1333</v>
      </c>
      <c r="B169" s="167" t="str">
        <f>IF(COUNTBLANK($B170:$B189)=20,"No Risk Committee","")</f>
        <v>No Risk Committee</v>
      </c>
      <c r="C169" s="168" t="s">
        <v>1323</v>
      </c>
      <c r="D169" s="168" t="s">
        <v>1324</v>
      </c>
      <c r="E169" s="168" t="s">
        <v>878</v>
      </c>
      <c r="F169" s="168" t="s">
        <v>879</v>
      </c>
      <c r="G169" s="168" t="s">
        <v>38</v>
      </c>
      <c r="H169" s="168" t="s">
        <v>39</v>
      </c>
      <c r="I169" s="168" t="s">
        <v>40</v>
      </c>
      <c r="J169" s="168" t="s">
        <v>41</v>
      </c>
      <c r="K169" s="168" t="s">
        <v>42</v>
      </c>
      <c r="L169" s="168" t="s">
        <v>43</v>
      </c>
      <c r="M169" s="168" t="s">
        <v>44</v>
      </c>
      <c r="N169" s="168" t="s">
        <v>45</v>
      </c>
    </row>
    <row r="170" spans="1:14" ht="14.25" customHeight="1">
      <c r="B170" s="156" t="str">
        <f t="array" ref="B170:B189">IF(1*($AG$3:$AG$22="M")+($AG$3:$AG$22="C")*1,$B$3:$B$22,"")</f>
        <v/>
      </c>
      <c r="C170" s="181"/>
      <c r="D170" s="181"/>
      <c r="E170" s="181"/>
      <c r="F170" s="181"/>
      <c r="G170" s="181"/>
      <c r="H170" s="181"/>
      <c r="I170" s="181"/>
      <c r="J170" s="181"/>
      <c r="K170" s="181"/>
      <c r="L170" s="181"/>
      <c r="M170" s="181"/>
      <c r="N170" s="181"/>
    </row>
    <row r="171" spans="1:14" ht="14.25" customHeight="1">
      <c r="B171" s="156" t="str">
        <v/>
      </c>
      <c r="C171" s="181"/>
      <c r="D171" s="181"/>
      <c r="E171" s="181"/>
      <c r="F171" s="181"/>
      <c r="G171" s="181"/>
      <c r="H171" s="181"/>
      <c r="I171" s="181"/>
      <c r="J171" s="181"/>
      <c r="K171" s="181"/>
      <c r="L171" s="181"/>
      <c r="M171" s="181"/>
      <c r="N171" s="181"/>
    </row>
    <row r="172" spans="1:14" ht="14.25" customHeight="1">
      <c r="B172" s="156" t="str">
        <v/>
      </c>
      <c r="C172" s="181"/>
      <c r="D172" s="181"/>
      <c r="E172" s="181"/>
      <c r="F172" s="181"/>
      <c r="G172" s="181"/>
      <c r="H172" s="181"/>
      <c r="I172" s="181"/>
      <c r="J172" s="181"/>
      <c r="K172" s="181"/>
      <c r="L172" s="181"/>
      <c r="M172" s="181"/>
      <c r="N172" s="181"/>
    </row>
    <row r="173" spans="1:14" ht="14.25" customHeight="1">
      <c r="B173" s="156" t="str">
        <v/>
      </c>
      <c r="C173" s="181"/>
      <c r="D173" s="181"/>
      <c r="E173" s="181"/>
      <c r="F173" s="181"/>
      <c r="G173" s="181"/>
      <c r="H173" s="181"/>
      <c r="I173" s="181"/>
      <c r="J173" s="181"/>
      <c r="K173" s="181"/>
      <c r="L173" s="181"/>
      <c r="M173" s="181"/>
      <c r="N173" s="181"/>
    </row>
    <row r="174" spans="1:14" ht="14.25" customHeight="1">
      <c r="B174" s="156" t="str">
        <v/>
      </c>
      <c r="C174" s="181"/>
      <c r="D174" s="181"/>
      <c r="E174" s="181"/>
      <c r="F174" s="181"/>
      <c r="G174" s="181"/>
      <c r="H174" s="181"/>
      <c r="I174" s="181"/>
      <c r="J174" s="181"/>
      <c r="K174" s="181"/>
      <c r="L174" s="181"/>
      <c r="M174" s="181"/>
      <c r="N174" s="181"/>
    </row>
    <row r="175" spans="1:14" ht="14.25" customHeight="1">
      <c r="A175" s="132"/>
      <c r="B175" s="156" t="str">
        <v/>
      </c>
      <c r="C175" s="181"/>
      <c r="D175" s="181"/>
      <c r="E175" s="181"/>
      <c r="F175" s="181"/>
      <c r="G175" s="181"/>
      <c r="H175" s="181"/>
      <c r="I175" s="181"/>
      <c r="J175" s="181"/>
      <c r="K175" s="181"/>
      <c r="L175" s="181"/>
      <c r="M175" s="181"/>
      <c r="N175" s="181"/>
    </row>
    <row r="176" spans="1:14" ht="14.25" customHeight="1">
      <c r="A176" s="132"/>
      <c r="B176" s="156" t="str">
        <v/>
      </c>
      <c r="C176" s="181"/>
      <c r="D176" s="181"/>
      <c r="E176" s="181"/>
      <c r="F176" s="181"/>
      <c r="G176" s="181"/>
      <c r="H176" s="181"/>
      <c r="I176" s="181"/>
      <c r="J176" s="181"/>
      <c r="K176" s="181"/>
      <c r="L176" s="181"/>
      <c r="M176" s="181"/>
      <c r="N176" s="181"/>
    </row>
    <row r="177" spans="1:14" ht="14.25" customHeight="1">
      <c r="A177" s="132"/>
      <c r="B177" s="156" t="str">
        <v/>
      </c>
      <c r="C177" s="181"/>
      <c r="D177" s="181"/>
      <c r="E177" s="181"/>
      <c r="F177" s="181"/>
      <c r="G177" s="181"/>
      <c r="H177" s="181"/>
      <c r="I177" s="181"/>
      <c r="J177" s="181"/>
      <c r="K177" s="181"/>
      <c r="L177" s="181"/>
      <c r="M177" s="181"/>
      <c r="N177" s="181"/>
    </row>
    <row r="178" spans="1:14" ht="14.25" customHeight="1">
      <c r="A178" s="132"/>
      <c r="B178" s="156" t="str">
        <v/>
      </c>
      <c r="C178" s="181"/>
      <c r="D178" s="181"/>
      <c r="E178" s="181"/>
      <c r="F178" s="181"/>
      <c r="G178" s="181"/>
      <c r="H178" s="181"/>
      <c r="I178" s="181"/>
      <c r="J178" s="181"/>
      <c r="K178" s="181"/>
      <c r="L178" s="181"/>
      <c r="M178" s="181"/>
      <c r="N178" s="181"/>
    </row>
    <row r="179" spans="1:14" ht="14.25" customHeight="1">
      <c r="A179" s="132"/>
      <c r="B179" s="156" t="str">
        <v/>
      </c>
      <c r="C179" s="181"/>
      <c r="D179" s="181"/>
      <c r="E179" s="181"/>
      <c r="F179" s="181"/>
      <c r="G179" s="181"/>
      <c r="H179" s="181"/>
      <c r="I179" s="181"/>
      <c r="J179" s="181"/>
      <c r="K179" s="181"/>
      <c r="L179" s="181"/>
      <c r="M179" s="181"/>
      <c r="N179" s="181"/>
    </row>
    <row r="180" spans="1:14" ht="14.25" customHeight="1">
      <c r="A180" s="132"/>
      <c r="B180" s="156" t="str">
        <v/>
      </c>
      <c r="C180" s="181"/>
      <c r="D180" s="181"/>
      <c r="E180" s="181"/>
      <c r="F180" s="181"/>
      <c r="G180" s="181"/>
      <c r="H180" s="181"/>
      <c r="I180" s="181"/>
      <c r="J180" s="181"/>
      <c r="K180" s="181"/>
      <c r="L180" s="181"/>
      <c r="M180" s="181"/>
      <c r="N180" s="181"/>
    </row>
    <row r="181" spans="1:14" ht="14.25" customHeight="1">
      <c r="A181" s="132"/>
      <c r="B181" s="156" t="str">
        <v/>
      </c>
      <c r="C181" s="181"/>
      <c r="D181" s="181"/>
      <c r="E181" s="181"/>
      <c r="F181" s="181"/>
      <c r="G181" s="181"/>
      <c r="H181" s="181"/>
      <c r="I181" s="181"/>
      <c r="J181" s="181"/>
      <c r="K181" s="181"/>
      <c r="L181" s="181"/>
      <c r="M181" s="181"/>
      <c r="N181" s="181"/>
    </row>
    <row r="182" spans="1:14" ht="14.25" customHeight="1">
      <c r="A182" s="132"/>
      <c r="B182" s="156" t="str">
        <v/>
      </c>
      <c r="C182" s="181"/>
      <c r="D182" s="181"/>
      <c r="E182" s="181"/>
      <c r="F182" s="181"/>
      <c r="G182" s="181"/>
      <c r="H182" s="181"/>
      <c r="I182" s="181"/>
      <c r="J182" s="181"/>
      <c r="K182" s="181"/>
      <c r="L182" s="181"/>
      <c r="M182" s="181"/>
      <c r="N182" s="181"/>
    </row>
    <row r="183" spans="1:14" ht="14.25" customHeight="1">
      <c r="A183" s="132"/>
      <c r="B183" s="156" t="str">
        <v/>
      </c>
      <c r="C183" s="181"/>
      <c r="D183" s="181"/>
      <c r="E183" s="181"/>
      <c r="F183" s="181"/>
      <c r="G183" s="181"/>
      <c r="H183" s="181"/>
      <c r="I183" s="181"/>
      <c r="J183" s="181"/>
      <c r="K183" s="181"/>
      <c r="L183" s="181"/>
      <c r="M183" s="181"/>
      <c r="N183" s="181"/>
    </row>
    <row r="184" spans="1:14" ht="14.25" customHeight="1">
      <c r="A184" s="132"/>
      <c r="B184" s="170" t="str">
        <v/>
      </c>
      <c r="C184" s="181"/>
      <c r="D184" s="181"/>
      <c r="E184" s="181"/>
      <c r="F184" s="181"/>
      <c r="G184" s="181"/>
      <c r="H184" s="181"/>
      <c r="I184" s="181"/>
      <c r="J184" s="181"/>
      <c r="K184" s="181"/>
      <c r="L184" s="181"/>
      <c r="M184" s="181"/>
      <c r="N184" s="181"/>
    </row>
    <row r="185" spans="1:14" ht="14.25" customHeight="1">
      <c r="A185" s="132"/>
      <c r="B185" s="156" t="str">
        <v/>
      </c>
      <c r="C185" s="181"/>
      <c r="D185" s="181"/>
      <c r="E185" s="181"/>
      <c r="F185" s="181"/>
      <c r="G185" s="181"/>
      <c r="H185" s="181"/>
      <c r="I185" s="181"/>
      <c r="J185" s="181"/>
      <c r="K185" s="181"/>
      <c r="L185" s="181"/>
      <c r="M185" s="181"/>
      <c r="N185" s="181"/>
    </row>
    <row r="186" spans="1:14" ht="14.25" customHeight="1">
      <c r="A186" s="132"/>
      <c r="B186" s="156" t="str">
        <v/>
      </c>
      <c r="C186" s="181"/>
      <c r="D186" s="181"/>
      <c r="E186" s="181"/>
      <c r="F186" s="181"/>
      <c r="G186" s="181"/>
      <c r="H186" s="181"/>
      <c r="I186" s="181"/>
      <c r="J186" s="181"/>
      <c r="K186" s="181"/>
      <c r="L186" s="181"/>
      <c r="M186" s="181"/>
      <c r="N186" s="181"/>
    </row>
    <row r="187" spans="1:14" ht="14.25" customHeight="1">
      <c r="A187" s="132"/>
      <c r="B187" s="156" t="str">
        <v/>
      </c>
      <c r="C187" s="181"/>
      <c r="D187" s="181"/>
      <c r="E187" s="181"/>
      <c r="F187" s="181"/>
      <c r="G187" s="181"/>
      <c r="H187" s="181"/>
      <c r="I187" s="181"/>
      <c r="J187" s="181"/>
      <c r="K187" s="181"/>
      <c r="L187" s="181"/>
      <c r="M187" s="181"/>
      <c r="N187" s="181"/>
    </row>
    <row r="188" spans="1:14" ht="14.25" customHeight="1">
      <c r="A188" s="132"/>
      <c r="B188" s="156" t="str">
        <v/>
      </c>
      <c r="C188" s="181"/>
      <c r="D188" s="181"/>
      <c r="E188" s="181"/>
      <c r="F188" s="181"/>
      <c r="G188" s="181"/>
      <c r="H188" s="181"/>
      <c r="I188" s="181"/>
      <c r="J188" s="181"/>
      <c r="K188" s="181"/>
      <c r="L188" s="181"/>
      <c r="M188" s="181"/>
      <c r="N188" s="181"/>
    </row>
    <row r="189" spans="1:14" ht="14.25" customHeight="1">
      <c r="A189" s="132"/>
      <c r="B189" s="156" t="str">
        <v/>
      </c>
      <c r="C189" s="181"/>
      <c r="D189" s="181"/>
      <c r="E189" s="181"/>
      <c r="F189" s="181"/>
      <c r="G189" s="181"/>
      <c r="H189" s="181"/>
      <c r="I189" s="181"/>
      <c r="J189" s="181"/>
      <c r="K189" s="181"/>
      <c r="L189" s="181"/>
      <c r="M189" s="181"/>
      <c r="N189" s="181"/>
    </row>
  </sheetData>
  <protectedRanges>
    <protectedRange sqref="N16:N22 G16:L22 G15:N15 G13:L14 E3:E22 G3:M12 N3:N14 O3:O22" name="Range5"/>
    <protectedRange sqref="AB3:AB22" name="Range5_1_1_1"/>
    <protectedRange sqref="AF3:AG22" name="Range5_1"/>
  </protectedRanges>
  <conditionalFormatting sqref="B107">
    <cfRule type="cellIs" dxfId="17" priority="8" operator="equal">
      <formula>"No Committee"</formula>
    </cfRule>
  </conditionalFormatting>
  <conditionalFormatting sqref="B65">
    <cfRule type="cellIs" dxfId="16" priority="4" operator="equal">
      <formula>"No Committee"</formula>
    </cfRule>
  </conditionalFormatting>
  <conditionalFormatting sqref="B44">
    <cfRule type="cellIs" dxfId="15" priority="6" operator="equal">
      <formula>"No Committee"</formula>
    </cfRule>
  </conditionalFormatting>
  <conditionalFormatting sqref="B86">
    <cfRule type="cellIs" dxfId="14" priority="3" operator="equal">
      <formula>"No Committee"</formula>
    </cfRule>
  </conditionalFormatting>
  <conditionalFormatting sqref="B147">
    <cfRule type="cellIs" dxfId="13" priority="2" operator="equal">
      <formula>"No Committee"</formula>
    </cfRule>
  </conditionalFormatting>
  <conditionalFormatting sqref="B169">
    <cfRule type="cellIs" dxfId="12" priority="1" operator="equal">
      <formula>"No Committee"</formula>
    </cfRule>
  </conditionalFormatting>
  <dataValidations count="7">
    <dataValidation type="list" allowBlank="1" showInputMessage="1" showErrorMessage="1" sqref="G3:G22">
      <formula1>"ID,NED,NEDP,ED,EDP"</formula1>
    </dataValidation>
    <dataValidation type="list" allowBlank="1" showInputMessage="1" showErrorMessage="1" sqref="I3:L22 AF3:AG22">
      <formula1>"C,M,MD,C(Resign),M(Resign)"</formula1>
    </dataValidation>
    <dataValidation type="list" allowBlank="1" showInputMessage="1" showErrorMessage="1" sqref="H3:H22">
      <formula1>"CMD,C,M,MD,C(Resign),M(Resign)"</formula1>
    </dataValidation>
    <dataValidation type="list" allowBlank="1" showInputMessage="1" showErrorMessage="1" sqref="W3:W22 Y3:Y22">
      <formula1>"Y,N"</formula1>
    </dataValidation>
    <dataValidation type="list" allowBlank="1" showInputMessage="1" showErrorMessage="1" sqref="B1">
      <formula1>"2015,2014,2013,2012,2010"</formula1>
    </dataValidation>
    <dataValidation type="list" allowBlank="1" showInputMessage="1" showErrorMessage="1" sqref="AB3:AB22">
      <formula1>$AK$3:$AK$5</formula1>
    </dataValidation>
    <dataValidation type="list" allowBlank="1" showInputMessage="1" showErrorMessage="1" sqref="D1">
      <formula1>$AH$3:$AH$4</formula1>
    </dataValidation>
  </dataValidations>
  <pageMargins left="0.7" right="0.7" top="0.75" bottom="0.75" header="0.3" footer="0.3"/>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enableFormatConditionsCalculation="0">
    <tabColor theme="9" tint="0.39997558519241921"/>
  </sheetPr>
  <dimension ref="A1:AZ684"/>
  <sheetViews>
    <sheetView topLeftCell="T600" workbookViewId="0">
      <selection activeCell="AH618" sqref="AH618"/>
    </sheetView>
  </sheetViews>
  <sheetFormatPr baseColWidth="10" defaultColWidth="8.83203125" defaultRowHeight="14" x14ac:dyDescent="0"/>
  <cols>
    <col min="2" max="2" width="15.33203125" bestFit="1" customWidth="1"/>
    <col min="3" max="3" width="15.1640625" bestFit="1" customWidth="1"/>
    <col min="4" max="4" width="14.83203125" bestFit="1" customWidth="1"/>
    <col min="5" max="5" width="17" customWidth="1"/>
    <col min="6" max="6" width="16" bestFit="1" customWidth="1"/>
    <col min="7" max="7" width="14" customWidth="1"/>
    <col min="8" max="8" width="12.1640625" customWidth="1"/>
    <col min="29" max="29" width="9" customWidth="1"/>
    <col min="32" max="32" width="16.83203125" bestFit="1" customWidth="1"/>
  </cols>
  <sheetData>
    <row r="1" spans="1:51">
      <c r="A1" s="244" t="s">
        <v>776</v>
      </c>
      <c r="B1" s="247" t="s">
        <v>775</v>
      </c>
      <c r="C1" s="246"/>
      <c r="D1" s="246"/>
      <c r="E1" s="246"/>
      <c r="F1" s="246"/>
      <c r="G1" s="246"/>
      <c r="H1" s="246"/>
      <c r="I1" s="246"/>
      <c r="J1" s="246"/>
      <c r="K1" s="246"/>
      <c r="L1" s="246"/>
      <c r="M1" s="246"/>
      <c r="N1" s="246"/>
      <c r="O1" s="1"/>
      <c r="P1" s="245" t="s">
        <v>775</v>
      </c>
      <c r="Q1" s="1"/>
      <c r="R1" s="1"/>
      <c r="S1" s="1"/>
      <c r="T1" s="1"/>
      <c r="U1" s="1"/>
      <c r="V1" s="1"/>
      <c r="W1" s="1"/>
      <c r="X1" s="1"/>
      <c r="Y1" s="1"/>
      <c r="Z1" s="1"/>
      <c r="AA1" s="1"/>
      <c r="AB1" s="1"/>
      <c r="AC1" s="1"/>
      <c r="AD1" s="244" t="s">
        <v>776</v>
      </c>
      <c r="AE1" s="245" t="s">
        <v>775</v>
      </c>
      <c r="AF1" s="244" t="s">
        <v>777</v>
      </c>
      <c r="AG1" s="1"/>
      <c r="AH1" s="244"/>
      <c r="AI1" s="1"/>
      <c r="AJ1" s="1"/>
      <c r="AK1" s="245" t="s">
        <v>775</v>
      </c>
      <c r="AL1" s="1"/>
      <c r="AM1" s="1"/>
      <c r="AN1" s="1"/>
      <c r="AO1" s="1"/>
      <c r="AP1" s="1"/>
      <c r="AQ1" s="1"/>
      <c r="AR1" s="1"/>
      <c r="AS1" s="1"/>
      <c r="AT1" s="1"/>
      <c r="AU1" s="1"/>
      <c r="AV1" s="1"/>
      <c r="AW1" s="1"/>
    </row>
    <row r="2" spans="1:51">
      <c r="A2" s="17" t="s">
        <v>773</v>
      </c>
      <c r="B2" s="242" t="s">
        <v>774</v>
      </c>
      <c r="C2" s="242" t="s">
        <v>1012</v>
      </c>
      <c r="D2" s="242"/>
      <c r="E2" s="242"/>
      <c r="F2" s="242"/>
      <c r="G2" s="242"/>
      <c r="H2" s="242"/>
      <c r="I2" s="242"/>
      <c r="J2" s="242"/>
      <c r="K2" s="242"/>
      <c r="L2" s="242"/>
      <c r="M2" s="242"/>
      <c r="N2" s="242"/>
      <c r="O2" s="17" t="s">
        <v>773</v>
      </c>
      <c r="P2" s="240">
        <v>513375</v>
      </c>
      <c r="Q2" s="1">
        <v>506076</v>
      </c>
      <c r="R2" s="1"/>
      <c r="S2" s="1"/>
      <c r="T2" s="1"/>
      <c r="U2" s="1"/>
      <c r="V2" s="1"/>
      <c r="W2" s="1"/>
      <c r="X2" s="1"/>
      <c r="Y2" s="1"/>
      <c r="Z2" s="1"/>
      <c r="AA2" s="1"/>
      <c r="AB2" s="1"/>
      <c r="AC2" s="1"/>
      <c r="AD2" s="17" t="s">
        <v>773</v>
      </c>
      <c r="AE2" s="240">
        <v>513375</v>
      </c>
      <c r="AF2" s="242" t="s">
        <v>774</v>
      </c>
      <c r="AG2" s="240">
        <v>513375</v>
      </c>
      <c r="AJ2" s="17" t="s">
        <v>773</v>
      </c>
      <c r="AK2" s="240" t="str">
        <f t="shared" ref="AK2:AK33" si="0">IFERROR(VLOOKUP(P2,$AE$2:$AF$691,2,FALSE),"")</f>
        <v>Carborundum Uni.</v>
      </c>
      <c r="AL2" s="240" t="str">
        <f t="shared" ref="AL2:AL33" si="1">IFERROR(VLOOKUP(Q2,$AE$2:$AF$691,2,FALSE),"")</f>
        <v>Grindwell Norton</v>
      </c>
      <c r="AM2" s="240" t="str">
        <f t="shared" ref="AM2:AM33" si="2">IFERROR(VLOOKUP(R2,$AE$2:$AF$691,2,FALSE),"")</f>
        <v/>
      </c>
      <c r="AN2" s="240" t="str">
        <f t="shared" ref="AN2:AN33" si="3">IFERROR(VLOOKUP(S2,$AE$2:$AF$691,2,FALSE),"")</f>
        <v/>
      </c>
      <c r="AO2" s="240" t="str">
        <f t="shared" ref="AO2:AO33" si="4">IFERROR(VLOOKUP(T2,$AE$2:$AF$691,2,FALSE),"")</f>
        <v/>
      </c>
      <c r="AP2" s="240" t="str">
        <f t="shared" ref="AP2:AP33" si="5">IFERROR(VLOOKUP(U2,$AE$2:$AF$691,2,FALSE),"")</f>
        <v/>
      </c>
      <c r="AQ2" s="240" t="str">
        <f t="shared" ref="AQ2:AQ33" si="6">IFERROR(VLOOKUP(V2,$AE$2:$AF$691,2,FALSE),"")</f>
        <v/>
      </c>
      <c r="AR2" s="240" t="str">
        <f t="shared" ref="AR2:AR33" si="7">IFERROR(VLOOKUP(W2,$AE$2:$AF$691,2,FALSE),"")</f>
        <v/>
      </c>
      <c r="AS2" s="240" t="str">
        <f t="shared" ref="AS2:AS33" si="8">IFERROR(VLOOKUP(X2,$AE$2:$AF$691,2,FALSE),"")</f>
        <v/>
      </c>
      <c r="AT2" s="240" t="str">
        <f t="shared" ref="AT2:AT33" si="9">IFERROR(VLOOKUP(Y2,$AE$2:$AF$691,2,FALSE),"")</f>
        <v/>
      </c>
      <c r="AU2" s="240" t="str">
        <f t="shared" ref="AU2:AU33" si="10">IFERROR(VLOOKUP(Z2,$AE$2:$AF$691,2,FALSE),"")</f>
        <v/>
      </c>
      <c r="AV2" s="240" t="str">
        <f t="shared" ref="AV2:AV33" si="11">IFERROR(VLOOKUP(AA2,$AE$2:$AF$691,2,FALSE),"")</f>
        <v/>
      </c>
      <c r="AW2" s="240" t="str">
        <f t="shared" ref="AW2:AW33" si="12">IFERROR(VLOOKUP(AB2,$AE$2:$AF$691,2,FALSE),"")</f>
        <v/>
      </c>
      <c r="AX2" s="240" t="str">
        <f t="shared" ref="AX2:AX33" si="13">IFERROR(VLOOKUP(AC2,$AE$2:$AF$691,2,FALSE),"")</f>
        <v/>
      </c>
      <c r="AY2" s="240" t="str">
        <f t="shared" ref="AY2:AY33" si="14">IFERROR(VLOOKUP(AD2,$AE$2:$AF$691,2,FALSE),"")</f>
        <v/>
      </c>
    </row>
    <row r="3" spans="1:51">
      <c r="A3" s="17" t="s">
        <v>323</v>
      </c>
      <c r="B3" s="242" t="s">
        <v>772</v>
      </c>
      <c r="C3" s="242"/>
      <c r="D3" s="242"/>
      <c r="E3" s="242"/>
      <c r="F3" s="242"/>
      <c r="G3" s="242"/>
      <c r="H3" s="242"/>
      <c r="I3" s="242"/>
      <c r="J3" s="242"/>
      <c r="K3" s="242"/>
      <c r="L3" s="242"/>
      <c r="M3" s="242"/>
      <c r="N3" s="242"/>
      <c r="O3" s="17" t="s">
        <v>323</v>
      </c>
      <c r="P3" s="240">
        <v>532617</v>
      </c>
      <c r="Q3" s="240"/>
      <c r="R3" s="1"/>
      <c r="S3" s="1"/>
      <c r="T3" s="1"/>
      <c r="U3" s="1"/>
      <c r="V3" s="1"/>
      <c r="W3" s="1"/>
      <c r="X3" s="1"/>
      <c r="Y3" s="1"/>
      <c r="Z3" s="1"/>
      <c r="AA3" s="1"/>
      <c r="AB3" s="1"/>
      <c r="AC3" s="1"/>
      <c r="AD3" s="17" t="s">
        <v>323</v>
      </c>
      <c r="AE3" s="240">
        <v>532617</v>
      </c>
      <c r="AF3" s="242" t="s">
        <v>772</v>
      </c>
      <c r="AG3" s="240">
        <v>532617</v>
      </c>
      <c r="AJ3" s="17" t="s">
        <v>323</v>
      </c>
      <c r="AK3" s="240" t="str">
        <f t="shared" si="0"/>
        <v>Jet Airways</v>
      </c>
      <c r="AL3" s="240" t="str">
        <f t="shared" si="1"/>
        <v/>
      </c>
      <c r="AM3" s="240" t="str">
        <f t="shared" si="2"/>
        <v/>
      </c>
      <c r="AN3" s="240" t="str">
        <f t="shared" si="3"/>
        <v/>
      </c>
      <c r="AO3" s="240" t="str">
        <f t="shared" si="4"/>
        <v/>
      </c>
      <c r="AP3" s="240" t="str">
        <f t="shared" si="5"/>
        <v/>
      </c>
      <c r="AQ3" s="240" t="str">
        <f t="shared" si="6"/>
        <v/>
      </c>
      <c r="AR3" s="240" t="str">
        <f t="shared" si="7"/>
        <v/>
      </c>
      <c r="AS3" s="240" t="str">
        <f t="shared" si="8"/>
        <v/>
      </c>
      <c r="AT3" s="240" t="str">
        <f t="shared" si="9"/>
        <v/>
      </c>
      <c r="AU3" s="240" t="str">
        <f t="shared" si="10"/>
        <v/>
      </c>
      <c r="AV3" s="240" t="str">
        <f t="shared" si="11"/>
        <v/>
      </c>
      <c r="AW3" s="240" t="str">
        <f t="shared" si="12"/>
        <v/>
      </c>
      <c r="AX3" s="240" t="str">
        <f t="shared" si="13"/>
        <v/>
      </c>
      <c r="AY3" s="240" t="str">
        <f t="shared" si="14"/>
        <v/>
      </c>
    </row>
    <row r="4" spans="1:51">
      <c r="A4" s="17" t="s">
        <v>322</v>
      </c>
      <c r="B4" s="242" t="s">
        <v>771</v>
      </c>
      <c r="C4" s="242" t="s">
        <v>1013</v>
      </c>
      <c r="D4" s="242" t="s">
        <v>1014</v>
      </c>
      <c r="E4" s="242"/>
      <c r="F4" s="242"/>
      <c r="G4" s="242"/>
      <c r="H4" s="242"/>
      <c r="I4" s="242"/>
      <c r="J4" s="242"/>
      <c r="K4" s="242"/>
      <c r="L4" s="242"/>
      <c r="M4" s="242"/>
      <c r="N4" s="242"/>
      <c r="O4" s="17" t="s">
        <v>322</v>
      </c>
      <c r="P4" s="1">
        <v>532787</v>
      </c>
      <c r="Q4" s="240">
        <v>531410</v>
      </c>
      <c r="R4" s="240">
        <v>531979</v>
      </c>
      <c r="S4" s="1"/>
      <c r="T4" s="1"/>
      <c r="U4" s="1"/>
      <c r="V4" s="1"/>
      <c r="W4" s="1"/>
      <c r="X4" s="1"/>
      <c r="Y4" s="1"/>
      <c r="Z4" s="1"/>
      <c r="AA4" s="1"/>
      <c r="AB4" s="1"/>
      <c r="AC4" s="1"/>
      <c r="AD4" s="17" t="s">
        <v>322</v>
      </c>
      <c r="AE4" s="1">
        <v>532787</v>
      </c>
      <c r="AF4" s="242" t="s">
        <v>771</v>
      </c>
      <c r="AG4" s="1">
        <v>532787</v>
      </c>
      <c r="AJ4" s="17" t="s">
        <v>322</v>
      </c>
      <c r="AK4" s="240" t="str">
        <f t="shared" si="0"/>
        <v>Ess Dee Alumin.</v>
      </c>
      <c r="AL4" s="240" t="str">
        <f t="shared" si="1"/>
        <v>Gujarat Foils</v>
      </c>
      <c r="AM4" s="240" t="str">
        <f t="shared" si="2"/>
        <v>Hind Aluminium</v>
      </c>
      <c r="AN4" s="240" t="str">
        <f t="shared" si="3"/>
        <v/>
      </c>
      <c r="AO4" s="240" t="str">
        <f t="shared" si="4"/>
        <v/>
      </c>
      <c r="AP4" s="240" t="str">
        <f t="shared" si="5"/>
        <v/>
      </c>
      <c r="AQ4" s="240" t="str">
        <f t="shared" si="6"/>
        <v/>
      </c>
      <c r="AR4" s="240" t="str">
        <f t="shared" si="7"/>
        <v/>
      </c>
      <c r="AS4" s="240" t="str">
        <f t="shared" si="8"/>
        <v/>
      </c>
      <c r="AT4" s="240" t="str">
        <f t="shared" si="9"/>
        <v/>
      </c>
      <c r="AU4" s="240" t="str">
        <f t="shared" si="10"/>
        <v/>
      </c>
      <c r="AV4" s="240" t="str">
        <f t="shared" si="11"/>
        <v/>
      </c>
      <c r="AW4" s="240" t="str">
        <f t="shared" si="12"/>
        <v/>
      </c>
      <c r="AX4" s="240" t="str">
        <f t="shared" si="13"/>
        <v/>
      </c>
      <c r="AY4" s="240" t="str">
        <f t="shared" si="14"/>
        <v/>
      </c>
    </row>
    <row r="5" spans="1:51">
      <c r="A5" s="17" t="s">
        <v>321</v>
      </c>
      <c r="B5" s="242" t="s">
        <v>770</v>
      </c>
      <c r="C5" s="242" t="s">
        <v>768</v>
      </c>
      <c r="D5" s="242"/>
      <c r="E5" s="242"/>
      <c r="F5" s="242"/>
      <c r="G5" s="242"/>
      <c r="H5" s="242"/>
      <c r="I5" s="242"/>
      <c r="J5" s="242"/>
      <c r="K5" s="242"/>
      <c r="L5" s="242"/>
      <c r="M5" s="242"/>
      <c r="N5" s="242"/>
      <c r="O5" s="17" t="s">
        <v>321</v>
      </c>
      <c r="P5" s="240">
        <v>500086</v>
      </c>
      <c r="Q5" s="240">
        <v>500008</v>
      </c>
      <c r="R5" s="240"/>
      <c r="S5" s="1"/>
      <c r="T5" s="1"/>
      <c r="U5" s="1"/>
      <c r="V5" s="1"/>
      <c r="W5" s="1"/>
      <c r="X5" s="1"/>
      <c r="Y5" s="1"/>
      <c r="Z5" s="1"/>
      <c r="AA5" s="1"/>
      <c r="AB5" s="1"/>
      <c r="AC5" s="1"/>
      <c r="AD5" s="17" t="s">
        <v>321</v>
      </c>
      <c r="AE5" s="240">
        <v>500086</v>
      </c>
      <c r="AF5" s="242" t="s">
        <v>770</v>
      </c>
      <c r="AG5" s="240">
        <v>500086</v>
      </c>
      <c r="AJ5" s="17" t="s">
        <v>321</v>
      </c>
      <c r="AK5" s="240" t="str">
        <f t="shared" si="0"/>
        <v>Exide Inds.</v>
      </c>
      <c r="AL5" s="240" t="str">
        <f t="shared" si="1"/>
        <v>Amara Raja Batt.</v>
      </c>
      <c r="AM5" s="240" t="str">
        <f t="shared" si="2"/>
        <v/>
      </c>
      <c r="AN5" s="240" t="str">
        <f t="shared" si="3"/>
        <v/>
      </c>
      <c r="AO5" s="240" t="str">
        <f t="shared" si="4"/>
        <v/>
      </c>
      <c r="AP5" s="240" t="str">
        <f t="shared" si="5"/>
        <v/>
      </c>
      <c r="AQ5" s="240" t="str">
        <f t="shared" si="6"/>
        <v/>
      </c>
      <c r="AR5" s="240" t="str">
        <f t="shared" si="7"/>
        <v/>
      </c>
      <c r="AS5" s="240" t="str">
        <f t="shared" si="8"/>
        <v/>
      </c>
      <c r="AT5" s="240" t="str">
        <f t="shared" si="9"/>
        <v/>
      </c>
      <c r="AU5" s="240" t="str">
        <f t="shared" si="10"/>
        <v/>
      </c>
      <c r="AV5" s="240" t="str">
        <f t="shared" si="11"/>
        <v/>
      </c>
      <c r="AW5" s="240" t="str">
        <f t="shared" si="12"/>
        <v/>
      </c>
      <c r="AX5" s="240" t="str">
        <f t="shared" si="13"/>
        <v/>
      </c>
      <c r="AY5" s="240" t="str">
        <f t="shared" si="14"/>
        <v/>
      </c>
    </row>
    <row r="6" spans="1:51">
      <c r="A6" s="17" t="s">
        <v>320</v>
      </c>
      <c r="B6" s="242" t="s">
        <v>769</v>
      </c>
      <c r="C6" s="242" t="s">
        <v>929</v>
      </c>
      <c r="D6" s="242"/>
      <c r="E6" s="242"/>
      <c r="F6" s="242"/>
      <c r="G6" s="242"/>
      <c r="H6" s="242"/>
      <c r="I6" s="242"/>
      <c r="J6" s="242"/>
      <c r="K6" s="242"/>
      <c r="L6" s="242"/>
      <c r="M6" s="242"/>
      <c r="N6" s="242"/>
      <c r="O6" s="17" t="s">
        <v>320</v>
      </c>
      <c r="P6" s="240">
        <v>520077</v>
      </c>
      <c r="Q6" s="242">
        <v>520056</v>
      </c>
      <c r="R6" s="240"/>
      <c r="S6" s="1"/>
      <c r="T6" s="242"/>
      <c r="U6" s="242"/>
      <c r="V6" s="242"/>
      <c r="W6" s="242"/>
      <c r="X6" s="242"/>
      <c r="Y6" s="242"/>
      <c r="Z6" s="1"/>
      <c r="AA6" s="1"/>
      <c r="AB6" s="1"/>
      <c r="AC6" s="1"/>
      <c r="AD6" s="17" t="s">
        <v>320</v>
      </c>
      <c r="AE6" s="240">
        <v>520077</v>
      </c>
      <c r="AF6" s="242" t="s">
        <v>769</v>
      </c>
      <c r="AG6" s="240">
        <v>520077</v>
      </c>
      <c r="AJ6" s="17" t="s">
        <v>320</v>
      </c>
      <c r="AK6" s="240" t="str">
        <f t="shared" si="0"/>
        <v>Amtek Auto</v>
      </c>
      <c r="AL6" s="240" t="str">
        <f t="shared" si="1"/>
        <v>Sundaram Clayton</v>
      </c>
      <c r="AM6" s="240" t="str">
        <f t="shared" si="2"/>
        <v/>
      </c>
      <c r="AN6" s="240" t="str">
        <f t="shared" si="3"/>
        <v/>
      </c>
      <c r="AO6" s="240" t="str">
        <f t="shared" si="4"/>
        <v/>
      </c>
      <c r="AP6" s="240" t="str">
        <f t="shared" si="5"/>
        <v/>
      </c>
      <c r="AQ6" s="240" t="str">
        <f t="shared" si="6"/>
        <v/>
      </c>
      <c r="AR6" s="240" t="str">
        <f t="shared" si="7"/>
        <v/>
      </c>
      <c r="AS6" s="240" t="str">
        <f t="shared" si="8"/>
        <v/>
      </c>
      <c r="AT6" s="240" t="str">
        <f t="shared" si="9"/>
        <v/>
      </c>
      <c r="AU6" s="240" t="str">
        <f t="shared" si="10"/>
        <v/>
      </c>
      <c r="AV6" s="240" t="str">
        <f t="shared" si="11"/>
        <v/>
      </c>
      <c r="AW6" s="240" t="str">
        <f t="shared" si="12"/>
        <v/>
      </c>
      <c r="AX6" s="240" t="str">
        <f t="shared" si="13"/>
        <v/>
      </c>
      <c r="AY6" s="240" t="str">
        <f t="shared" si="14"/>
        <v/>
      </c>
    </row>
    <row r="7" spans="1:51">
      <c r="A7" s="17" t="s">
        <v>347</v>
      </c>
      <c r="B7" s="242" t="s">
        <v>767</v>
      </c>
      <c r="C7" s="243" t="s">
        <v>766</v>
      </c>
      <c r="D7" s="242" t="s">
        <v>765</v>
      </c>
      <c r="E7" s="242"/>
      <c r="F7" s="242"/>
      <c r="G7" s="242"/>
      <c r="H7" s="242"/>
      <c r="I7" s="242"/>
      <c r="J7" s="242"/>
      <c r="K7" s="242"/>
      <c r="L7" s="242"/>
      <c r="M7" s="242"/>
      <c r="N7" s="242"/>
      <c r="O7" s="17" t="s">
        <v>347</v>
      </c>
      <c r="P7" s="240">
        <v>532977</v>
      </c>
      <c r="Q7" s="240">
        <v>500182</v>
      </c>
      <c r="R7" s="242">
        <v>532343</v>
      </c>
      <c r="S7" s="1"/>
      <c r="T7" s="1"/>
      <c r="U7" s="1"/>
      <c r="V7" s="1"/>
      <c r="W7" s="1"/>
      <c r="X7" s="1"/>
      <c r="Y7" s="1"/>
      <c r="Z7" s="1"/>
      <c r="AA7" s="1"/>
      <c r="AB7" s="1"/>
      <c r="AC7" s="1"/>
      <c r="AD7" s="17" t="s">
        <v>347</v>
      </c>
      <c r="AE7" s="240">
        <v>532977</v>
      </c>
      <c r="AF7" s="242" t="s">
        <v>767</v>
      </c>
      <c r="AG7" s="240">
        <v>532977</v>
      </c>
      <c r="AJ7" s="17" t="s">
        <v>347</v>
      </c>
      <c r="AK7" s="240" t="str">
        <f t="shared" si="0"/>
        <v>Bajaj Auto</v>
      </c>
      <c r="AL7" s="240" t="str">
        <f t="shared" si="1"/>
        <v>Hero Motocorp</v>
      </c>
      <c r="AM7" s="240" t="str">
        <f t="shared" si="2"/>
        <v>TVS Motor Co.</v>
      </c>
      <c r="AN7" s="240" t="str">
        <f t="shared" si="3"/>
        <v/>
      </c>
      <c r="AO7" s="240" t="str">
        <f t="shared" si="4"/>
        <v/>
      </c>
      <c r="AP7" s="240" t="str">
        <f t="shared" si="5"/>
        <v/>
      </c>
      <c r="AQ7" s="240" t="str">
        <f t="shared" si="6"/>
        <v/>
      </c>
      <c r="AR7" s="240" t="str">
        <f t="shared" si="7"/>
        <v/>
      </c>
      <c r="AS7" s="240" t="str">
        <f t="shared" si="8"/>
        <v/>
      </c>
      <c r="AT7" s="240" t="str">
        <f t="shared" si="9"/>
        <v/>
      </c>
      <c r="AU7" s="240" t="str">
        <f t="shared" si="10"/>
        <v/>
      </c>
      <c r="AV7" s="240" t="str">
        <f t="shared" si="11"/>
        <v/>
      </c>
      <c r="AW7" s="240" t="str">
        <f t="shared" si="12"/>
        <v/>
      </c>
      <c r="AX7" s="240" t="str">
        <f t="shared" si="13"/>
        <v/>
      </c>
      <c r="AY7" s="240" t="str">
        <f t="shared" si="14"/>
        <v/>
      </c>
    </row>
    <row r="8" spans="1:51">
      <c r="A8" s="17" t="s">
        <v>764</v>
      </c>
      <c r="B8" s="242" t="s">
        <v>549</v>
      </c>
      <c r="C8" s="242"/>
      <c r="D8" s="242"/>
      <c r="E8" s="242"/>
      <c r="F8" s="242"/>
      <c r="G8" s="242"/>
      <c r="H8" s="242"/>
      <c r="I8" s="242"/>
      <c r="J8" s="242"/>
      <c r="K8" s="242"/>
      <c r="L8" s="242"/>
      <c r="M8" s="242"/>
      <c r="N8" s="242"/>
      <c r="O8" s="17" t="s">
        <v>764</v>
      </c>
      <c r="P8" s="240">
        <v>532840</v>
      </c>
      <c r="Q8" s="1"/>
      <c r="R8" s="1"/>
      <c r="S8" s="1"/>
      <c r="T8" s="1"/>
      <c r="U8" s="1"/>
      <c r="V8" s="1"/>
      <c r="W8" s="1"/>
      <c r="X8" s="1"/>
      <c r="Y8" s="1"/>
      <c r="Z8" s="1"/>
      <c r="AA8" s="1"/>
      <c r="AB8" s="1"/>
      <c r="AC8" s="1"/>
      <c r="AD8" s="17" t="s">
        <v>764</v>
      </c>
      <c r="AE8" s="240">
        <v>532840</v>
      </c>
      <c r="AF8" s="242" t="s">
        <v>549</v>
      </c>
      <c r="AG8" s="240">
        <v>532840</v>
      </c>
      <c r="AJ8" s="17" t="s">
        <v>764</v>
      </c>
      <c r="AK8" s="240" t="str">
        <f t="shared" si="0"/>
        <v>Advanta India</v>
      </c>
      <c r="AL8" s="240" t="str">
        <f t="shared" si="1"/>
        <v/>
      </c>
      <c r="AM8" s="240" t="str">
        <f t="shared" si="2"/>
        <v/>
      </c>
      <c r="AN8" s="240" t="str">
        <f t="shared" si="3"/>
        <v/>
      </c>
      <c r="AO8" s="240" t="str">
        <f t="shared" si="4"/>
        <v/>
      </c>
      <c r="AP8" s="240" t="str">
        <f t="shared" si="5"/>
        <v/>
      </c>
      <c r="AQ8" s="240" t="str">
        <f t="shared" si="6"/>
        <v/>
      </c>
      <c r="AR8" s="240" t="str">
        <f t="shared" si="7"/>
        <v/>
      </c>
      <c r="AS8" s="240" t="str">
        <f t="shared" si="8"/>
        <v/>
      </c>
      <c r="AT8" s="240" t="str">
        <f t="shared" si="9"/>
        <v/>
      </c>
      <c r="AU8" s="240" t="str">
        <f t="shared" si="10"/>
        <v/>
      </c>
      <c r="AV8" s="240" t="str">
        <f t="shared" si="11"/>
        <v/>
      </c>
      <c r="AW8" s="240" t="str">
        <f t="shared" si="12"/>
        <v/>
      </c>
      <c r="AX8" s="240" t="str">
        <f t="shared" si="13"/>
        <v/>
      </c>
      <c r="AY8" s="240" t="str">
        <f t="shared" si="14"/>
        <v/>
      </c>
    </row>
    <row r="9" spans="1:51">
      <c r="A9" s="17" t="s">
        <v>296</v>
      </c>
      <c r="B9" s="242" t="s">
        <v>763</v>
      </c>
      <c r="C9" s="242" t="s">
        <v>762</v>
      </c>
      <c r="D9" s="242" t="s">
        <v>1015</v>
      </c>
      <c r="E9" s="242" t="s">
        <v>979</v>
      </c>
      <c r="F9" s="242"/>
      <c r="G9" s="242"/>
      <c r="H9" s="242"/>
      <c r="I9" s="242"/>
      <c r="J9" s="242"/>
      <c r="K9" s="242"/>
      <c r="L9" s="242"/>
      <c r="M9" s="242"/>
      <c r="N9" s="242"/>
      <c r="O9" s="17" t="s">
        <v>296</v>
      </c>
      <c r="P9" s="240">
        <v>500477</v>
      </c>
      <c r="Q9" s="240">
        <v>505200</v>
      </c>
      <c r="R9" s="240">
        <v>500033</v>
      </c>
      <c r="S9" s="240">
        <v>505192</v>
      </c>
      <c r="T9" s="242"/>
      <c r="U9" s="242"/>
      <c r="V9" s="1"/>
      <c r="W9" s="1"/>
      <c r="X9" s="1"/>
      <c r="Y9" s="1"/>
      <c r="Z9" s="1"/>
      <c r="AA9" s="1"/>
      <c r="AB9" s="1"/>
      <c r="AC9" s="1"/>
      <c r="AD9" s="17" t="s">
        <v>296</v>
      </c>
      <c r="AE9" s="240">
        <v>500477</v>
      </c>
      <c r="AF9" s="242" t="s">
        <v>763</v>
      </c>
      <c r="AG9" s="240">
        <v>500477</v>
      </c>
      <c r="AJ9" s="17" t="s">
        <v>296</v>
      </c>
      <c r="AK9" s="240" t="str">
        <f t="shared" si="0"/>
        <v>Ashok Leyland</v>
      </c>
      <c r="AL9" s="240" t="str">
        <f t="shared" si="1"/>
        <v>Eicher Motors</v>
      </c>
      <c r="AM9" s="240" t="str">
        <f t="shared" si="2"/>
        <v>Force Motors</v>
      </c>
      <c r="AN9" s="240" t="str">
        <f t="shared" si="3"/>
        <v>SML ISUZU</v>
      </c>
      <c r="AO9" s="240" t="str">
        <f t="shared" si="4"/>
        <v/>
      </c>
      <c r="AP9" s="240" t="str">
        <f t="shared" si="5"/>
        <v/>
      </c>
      <c r="AQ9" s="240" t="str">
        <f t="shared" si="6"/>
        <v/>
      </c>
      <c r="AR9" s="240" t="str">
        <f t="shared" si="7"/>
        <v/>
      </c>
      <c r="AS9" s="240" t="str">
        <f t="shared" si="8"/>
        <v/>
      </c>
      <c r="AT9" s="240" t="str">
        <f t="shared" si="9"/>
        <v/>
      </c>
      <c r="AU9" s="240" t="str">
        <f t="shared" si="10"/>
        <v/>
      </c>
      <c r="AV9" s="240" t="str">
        <f t="shared" si="11"/>
        <v/>
      </c>
      <c r="AW9" s="240" t="str">
        <f t="shared" si="12"/>
        <v/>
      </c>
      <c r="AX9" s="240" t="str">
        <f t="shared" si="13"/>
        <v/>
      </c>
      <c r="AY9" s="240" t="str">
        <f t="shared" si="14"/>
        <v/>
      </c>
    </row>
    <row r="10" spans="1:51">
      <c r="A10" s="17" t="s">
        <v>319</v>
      </c>
      <c r="B10" s="242" t="s">
        <v>761</v>
      </c>
      <c r="C10" s="242" t="s">
        <v>760</v>
      </c>
      <c r="D10" s="242"/>
      <c r="E10" s="242"/>
      <c r="F10" s="242"/>
      <c r="G10" s="242"/>
      <c r="H10" s="242"/>
      <c r="I10" s="242"/>
      <c r="J10" s="242"/>
      <c r="K10" s="242"/>
      <c r="L10" s="242"/>
      <c r="M10" s="242"/>
      <c r="N10" s="242"/>
      <c r="O10" s="17" t="s">
        <v>319</v>
      </c>
      <c r="P10" s="240">
        <v>532500</v>
      </c>
      <c r="Q10" s="240">
        <v>500520</v>
      </c>
      <c r="R10" s="240"/>
      <c r="S10" s="1"/>
      <c r="T10" s="1"/>
      <c r="U10" s="1"/>
      <c r="V10" s="1"/>
      <c r="W10" s="1"/>
      <c r="X10" s="1"/>
      <c r="Y10" s="1"/>
      <c r="Z10" s="1"/>
      <c r="AA10" s="1"/>
      <c r="AB10" s="1"/>
      <c r="AC10" s="1"/>
      <c r="AD10" s="17" t="s">
        <v>319</v>
      </c>
      <c r="AE10" s="240">
        <v>532500</v>
      </c>
      <c r="AF10" s="242" t="s">
        <v>761</v>
      </c>
      <c r="AG10" s="240">
        <v>532500</v>
      </c>
      <c r="AJ10" s="17" t="s">
        <v>319</v>
      </c>
      <c r="AK10" s="240" t="str">
        <f t="shared" si="0"/>
        <v>Maruti Suzuki</v>
      </c>
      <c r="AL10" s="240" t="str">
        <f t="shared" si="1"/>
        <v>M &amp; M</v>
      </c>
      <c r="AM10" s="240" t="str">
        <f t="shared" si="2"/>
        <v/>
      </c>
      <c r="AN10" s="240" t="str">
        <f t="shared" si="3"/>
        <v/>
      </c>
      <c r="AO10" s="240" t="str">
        <f t="shared" si="4"/>
        <v/>
      </c>
      <c r="AP10" s="240" t="str">
        <f t="shared" si="5"/>
        <v/>
      </c>
      <c r="AQ10" s="240" t="str">
        <f t="shared" si="6"/>
        <v/>
      </c>
      <c r="AR10" s="240" t="str">
        <f t="shared" si="7"/>
        <v/>
      </c>
      <c r="AS10" s="240" t="str">
        <f t="shared" si="8"/>
        <v/>
      </c>
      <c r="AT10" s="240" t="str">
        <f t="shared" si="9"/>
        <v/>
      </c>
      <c r="AU10" s="240" t="str">
        <f t="shared" si="10"/>
        <v/>
      </c>
      <c r="AV10" s="240" t="str">
        <f t="shared" si="11"/>
        <v/>
      </c>
      <c r="AW10" s="240" t="str">
        <f t="shared" si="12"/>
        <v/>
      </c>
      <c r="AX10" s="240" t="str">
        <f t="shared" si="13"/>
        <v/>
      </c>
      <c r="AY10" s="240" t="str">
        <f t="shared" si="14"/>
        <v/>
      </c>
    </row>
    <row r="11" spans="1:51">
      <c r="A11" s="17" t="s">
        <v>272</v>
      </c>
      <c r="B11" s="242" t="s">
        <v>759</v>
      </c>
      <c r="C11" s="242" t="s">
        <v>751</v>
      </c>
      <c r="D11" s="242" t="s">
        <v>752</v>
      </c>
      <c r="E11" s="242" t="s">
        <v>754</v>
      </c>
      <c r="F11" s="242" t="s">
        <v>757</v>
      </c>
      <c r="G11" s="242"/>
      <c r="H11" s="242"/>
      <c r="I11" s="242"/>
      <c r="J11" s="242"/>
      <c r="K11" s="242"/>
      <c r="L11" s="242"/>
      <c r="M11" s="242"/>
      <c r="N11" s="242"/>
      <c r="O11" s="17" t="s">
        <v>272</v>
      </c>
      <c r="P11" s="240">
        <v>532187</v>
      </c>
      <c r="Q11" s="240">
        <v>532648</v>
      </c>
      <c r="R11" s="240">
        <v>531807</v>
      </c>
      <c r="S11" s="240">
        <v>500469</v>
      </c>
      <c r="T11" s="240">
        <v>500247</v>
      </c>
      <c r="U11" s="1"/>
      <c r="V11" s="1"/>
      <c r="W11" s="1"/>
      <c r="X11" s="1"/>
      <c r="Y11" s="1"/>
      <c r="Z11" s="1"/>
      <c r="AA11" s="1"/>
      <c r="AB11" s="1"/>
      <c r="AC11" s="1"/>
      <c r="AD11" s="17" t="s">
        <v>272</v>
      </c>
      <c r="AE11" s="240">
        <v>532187</v>
      </c>
      <c r="AF11" s="242" t="s">
        <v>759</v>
      </c>
      <c r="AG11" s="240">
        <v>532187</v>
      </c>
      <c r="AJ11" s="17" t="s">
        <v>272</v>
      </c>
      <c r="AK11" s="240" t="str">
        <f t="shared" si="0"/>
        <v>IndusInd Bank</v>
      </c>
      <c r="AL11" s="240" t="str">
        <f t="shared" si="1"/>
        <v>Yes Bank</v>
      </c>
      <c r="AM11" s="240" t="str">
        <f t="shared" si="2"/>
        <v>ING Vysya Bank</v>
      </c>
      <c r="AN11" s="240" t="str">
        <f t="shared" si="3"/>
        <v>Federal Bank</v>
      </c>
      <c r="AO11" s="240" t="str">
        <f t="shared" si="4"/>
        <v>Kotak Mah. Bank</v>
      </c>
      <c r="AP11" s="240" t="str">
        <f t="shared" si="5"/>
        <v/>
      </c>
      <c r="AQ11" s="240" t="str">
        <f t="shared" si="6"/>
        <v/>
      </c>
      <c r="AR11" s="240" t="str">
        <f t="shared" si="7"/>
        <v/>
      </c>
      <c r="AS11" s="240" t="str">
        <f t="shared" si="8"/>
        <v/>
      </c>
      <c r="AT11" s="240" t="str">
        <f t="shared" si="9"/>
        <v/>
      </c>
      <c r="AU11" s="240" t="str">
        <f t="shared" si="10"/>
        <v/>
      </c>
      <c r="AV11" s="240" t="str">
        <f t="shared" si="11"/>
        <v/>
      </c>
      <c r="AW11" s="240" t="str">
        <f t="shared" si="12"/>
        <v/>
      </c>
      <c r="AX11" s="240" t="str">
        <f t="shared" si="13"/>
        <v/>
      </c>
      <c r="AY11" s="240" t="str">
        <f t="shared" si="14"/>
        <v/>
      </c>
    </row>
    <row r="12" spans="1:51">
      <c r="A12" s="17" t="s">
        <v>295</v>
      </c>
      <c r="B12" s="242" t="s">
        <v>755</v>
      </c>
      <c r="C12" s="242" t="s">
        <v>756</v>
      </c>
      <c r="D12" s="242" t="s">
        <v>758</v>
      </c>
      <c r="E12" s="242" t="s">
        <v>757</v>
      </c>
      <c r="F12" s="242"/>
      <c r="G12" s="242"/>
      <c r="H12" s="242"/>
      <c r="I12" s="242"/>
      <c r="J12" s="242"/>
      <c r="K12" s="242"/>
      <c r="L12" s="242"/>
      <c r="M12" s="242"/>
      <c r="N12" s="242"/>
      <c r="O12" s="17" t="s">
        <v>295</v>
      </c>
      <c r="P12" s="240">
        <v>500180</v>
      </c>
      <c r="Q12" s="240">
        <v>532174</v>
      </c>
      <c r="R12" s="240">
        <v>532215</v>
      </c>
      <c r="S12" s="240">
        <v>500247</v>
      </c>
      <c r="T12" s="242"/>
      <c r="U12" s="1"/>
      <c r="V12" s="1"/>
      <c r="W12" s="1"/>
      <c r="X12" s="1"/>
      <c r="Y12" s="1"/>
      <c r="Z12" s="1"/>
      <c r="AA12" s="1"/>
      <c r="AB12" s="1"/>
      <c r="AC12" s="1"/>
      <c r="AD12" s="17" t="s">
        <v>295</v>
      </c>
      <c r="AE12" s="240">
        <v>500180</v>
      </c>
      <c r="AF12" s="242" t="s">
        <v>755</v>
      </c>
      <c r="AG12" s="240">
        <v>500180</v>
      </c>
      <c r="AJ12" s="17" t="s">
        <v>295</v>
      </c>
      <c r="AK12" s="240" t="str">
        <f t="shared" si="0"/>
        <v>HDFC Bank</v>
      </c>
      <c r="AL12" s="240" t="str">
        <f t="shared" si="1"/>
        <v>ICICI Bank</v>
      </c>
      <c r="AM12" s="240" t="str">
        <f t="shared" si="2"/>
        <v>Axis Bank</v>
      </c>
      <c r="AN12" s="240" t="str">
        <f t="shared" si="3"/>
        <v>Kotak Mah. Bank</v>
      </c>
      <c r="AO12" s="240" t="str">
        <f t="shared" si="4"/>
        <v/>
      </c>
      <c r="AP12" s="240" t="str">
        <f t="shared" si="5"/>
        <v/>
      </c>
      <c r="AQ12" s="240" t="str">
        <f t="shared" si="6"/>
        <v/>
      </c>
      <c r="AR12" s="240" t="str">
        <f t="shared" si="7"/>
        <v/>
      </c>
      <c r="AS12" s="240" t="str">
        <f t="shared" si="8"/>
        <v/>
      </c>
      <c r="AT12" s="240" t="str">
        <f t="shared" si="9"/>
        <v/>
      </c>
      <c r="AU12" s="240" t="str">
        <f t="shared" si="10"/>
        <v/>
      </c>
      <c r="AV12" s="240" t="str">
        <f t="shared" si="11"/>
        <v/>
      </c>
      <c r="AW12" s="240" t="str">
        <f t="shared" si="12"/>
        <v/>
      </c>
      <c r="AX12" s="240" t="str">
        <f t="shared" si="13"/>
        <v/>
      </c>
      <c r="AY12" s="240" t="str">
        <f t="shared" si="14"/>
        <v/>
      </c>
    </row>
    <row r="13" spans="1:51">
      <c r="A13" s="17" t="s">
        <v>257</v>
      </c>
      <c r="B13" s="242" t="s">
        <v>747</v>
      </c>
      <c r="C13" s="242" t="s">
        <v>753</v>
      </c>
      <c r="D13" s="242" t="s">
        <v>1016</v>
      </c>
      <c r="E13" s="242" t="s">
        <v>746</v>
      </c>
      <c r="F13" s="242" t="s">
        <v>745</v>
      </c>
      <c r="G13" s="242"/>
      <c r="H13" s="242"/>
      <c r="I13" s="242"/>
      <c r="J13" s="242"/>
      <c r="K13" s="242"/>
      <c r="L13" s="242"/>
      <c r="M13" s="242"/>
      <c r="N13" s="242"/>
      <c r="O13" s="17" t="s">
        <v>257</v>
      </c>
      <c r="P13" s="240">
        <v>580001</v>
      </c>
      <c r="Q13" s="240">
        <v>532209</v>
      </c>
      <c r="R13" s="240">
        <v>590003</v>
      </c>
      <c r="S13" s="1">
        <v>532210</v>
      </c>
      <c r="T13" s="240">
        <v>532218</v>
      </c>
      <c r="U13" s="240"/>
      <c r="V13" s="240"/>
      <c r="W13" s="1"/>
      <c r="X13" s="1"/>
      <c r="Y13" s="1"/>
      <c r="Z13" s="1"/>
      <c r="AA13" s="1"/>
      <c r="AB13" s="1"/>
      <c r="AC13" s="1"/>
      <c r="AD13" s="17" t="s">
        <v>257</v>
      </c>
      <c r="AE13" s="240">
        <v>580001</v>
      </c>
      <c r="AF13" s="242" t="s">
        <v>747</v>
      </c>
      <c r="AG13" s="240">
        <v>580001</v>
      </c>
      <c r="AJ13" s="17" t="s">
        <v>257</v>
      </c>
      <c r="AK13" s="240" t="str">
        <f t="shared" si="0"/>
        <v>Stand.Chart.PLC</v>
      </c>
      <c r="AL13" s="240" t="str">
        <f t="shared" si="1"/>
        <v>J &amp; K Bank</v>
      </c>
      <c r="AM13" s="240" t="str">
        <f t="shared" si="2"/>
        <v>Karur Vysya Bank</v>
      </c>
      <c r="AN13" s="240" t="str">
        <f t="shared" si="3"/>
        <v>City Union Bank</v>
      </c>
      <c r="AO13" s="240" t="str">
        <f t="shared" si="4"/>
        <v>South Ind.Bank</v>
      </c>
      <c r="AP13" s="240" t="str">
        <f t="shared" si="5"/>
        <v/>
      </c>
      <c r="AQ13" s="240" t="str">
        <f t="shared" si="6"/>
        <v/>
      </c>
      <c r="AR13" s="240" t="str">
        <f t="shared" si="7"/>
        <v/>
      </c>
      <c r="AS13" s="240" t="str">
        <f t="shared" si="8"/>
        <v/>
      </c>
      <c r="AT13" s="240" t="str">
        <f t="shared" si="9"/>
        <v/>
      </c>
      <c r="AU13" s="240" t="str">
        <f t="shared" si="10"/>
        <v/>
      </c>
      <c r="AV13" s="240" t="str">
        <f t="shared" si="11"/>
        <v/>
      </c>
      <c r="AW13" s="240" t="str">
        <f t="shared" si="12"/>
        <v/>
      </c>
      <c r="AX13" s="240" t="str">
        <f t="shared" si="13"/>
        <v/>
      </c>
      <c r="AY13" s="240" t="str">
        <f t="shared" si="14"/>
        <v/>
      </c>
    </row>
    <row r="14" spans="1:51">
      <c r="A14" s="17" t="s">
        <v>256</v>
      </c>
      <c r="B14" s="242" t="s">
        <v>748</v>
      </c>
      <c r="C14" s="242" t="s">
        <v>1017</v>
      </c>
      <c r="D14" s="242" t="s">
        <v>749</v>
      </c>
      <c r="E14" s="242" t="s">
        <v>750</v>
      </c>
      <c r="F14" s="242"/>
      <c r="G14" s="242"/>
      <c r="H14" s="242"/>
      <c r="I14" s="242"/>
      <c r="J14" s="242"/>
      <c r="K14" s="242"/>
      <c r="L14" s="242"/>
      <c r="M14" s="242"/>
      <c r="N14" s="242"/>
      <c r="O14" s="17" t="s">
        <v>256</v>
      </c>
      <c r="P14" s="240">
        <v>532652</v>
      </c>
      <c r="Q14" s="240">
        <v>532772</v>
      </c>
      <c r="R14" s="240">
        <v>534690</v>
      </c>
      <c r="S14" s="240">
        <v>532180</v>
      </c>
      <c r="T14" s="240"/>
      <c r="U14" s="240"/>
      <c r="V14" s="240"/>
      <c r="W14" s="240"/>
      <c r="X14" s="1"/>
      <c r="Y14" s="1"/>
      <c r="Z14" s="1"/>
      <c r="AA14" s="1"/>
      <c r="AB14" s="1"/>
      <c r="AC14" s="1"/>
      <c r="AD14" s="17" t="s">
        <v>256</v>
      </c>
      <c r="AE14" s="240">
        <v>532652</v>
      </c>
      <c r="AF14" s="242" t="s">
        <v>748</v>
      </c>
      <c r="AG14" s="240">
        <v>532652</v>
      </c>
      <c r="AJ14" s="17" t="s">
        <v>256</v>
      </c>
      <c r="AK14" s="240" t="str">
        <f t="shared" si="0"/>
        <v>Karnataka Bank</v>
      </c>
      <c r="AL14" s="240" t="str">
        <f t="shared" si="1"/>
        <v>DCB Bank</v>
      </c>
      <c r="AM14" s="240" t="str">
        <f t="shared" si="2"/>
        <v>Lak. Vilas Bank</v>
      </c>
      <c r="AN14" s="240" t="str">
        <f t="shared" si="3"/>
        <v>Dhanlaxmi Bank</v>
      </c>
      <c r="AO14" s="240" t="str">
        <f t="shared" si="4"/>
        <v/>
      </c>
      <c r="AP14" s="240" t="str">
        <f t="shared" si="5"/>
        <v/>
      </c>
      <c r="AQ14" s="240" t="str">
        <f t="shared" si="6"/>
        <v/>
      </c>
      <c r="AR14" s="240" t="str">
        <f t="shared" si="7"/>
        <v/>
      </c>
      <c r="AS14" s="240" t="str">
        <f t="shared" si="8"/>
        <v/>
      </c>
      <c r="AT14" s="240" t="str">
        <f t="shared" si="9"/>
        <v/>
      </c>
      <c r="AU14" s="240" t="str">
        <f t="shared" si="10"/>
        <v/>
      </c>
      <c r="AV14" s="240" t="str">
        <f t="shared" si="11"/>
        <v/>
      </c>
      <c r="AW14" s="240" t="str">
        <f t="shared" si="12"/>
        <v/>
      </c>
      <c r="AX14" s="240" t="str">
        <f t="shared" si="13"/>
        <v/>
      </c>
      <c r="AY14" s="240" t="str">
        <f t="shared" si="14"/>
        <v/>
      </c>
    </row>
    <row r="15" spans="1:51">
      <c r="A15" s="17" t="s">
        <v>240</v>
      </c>
      <c r="B15" s="242" t="s">
        <v>738</v>
      </c>
      <c r="C15" s="242"/>
      <c r="D15" s="242"/>
      <c r="E15" s="242"/>
      <c r="F15" s="242"/>
      <c r="G15" s="242"/>
      <c r="H15" s="242"/>
      <c r="I15" s="242"/>
      <c r="J15" s="242"/>
      <c r="K15" s="242"/>
      <c r="L15" s="242"/>
      <c r="M15" s="242"/>
      <c r="N15" s="242"/>
      <c r="O15" s="17" t="s">
        <v>240</v>
      </c>
      <c r="P15" s="240">
        <v>500112</v>
      </c>
      <c r="Q15" s="240"/>
      <c r="R15" s="240"/>
      <c r="S15" s="240"/>
      <c r="T15" s="240"/>
      <c r="U15" s="240"/>
      <c r="V15" s="240"/>
      <c r="W15" s="240"/>
      <c r="X15" s="240"/>
      <c r="Y15" s="1"/>
      <c r="Z15" s="1"/>
      <c r="AA15" s="1"/>
      <c r="AB15" s="1"/>
      <c r="AC15" s="1"/>
      <c r="AD15" s="17" t="s">
        <v>240</v>
      </c>
      <c r="AE15" s="240">
        <v>500112</v>
      </c>
      <c r="AF15" s="242" t="s">
        <v>738</v>
      </c>
      <c r="AG15" s="240">
        <v>500112</v>
      </c>
      <c r="AJ15" s="17" t="s">
        <v>240</v>
      </c>
      <c r="AK15" s="240" t="str">
        <f t="shared" si="0"/>
        <v>St Bk of India</v>
      </c>
      <c r="AL15" s="240" t="str">
        <f t="shared" si="1"/>
        <v/>
      </c>
      <c r="AM15" s="240" t="str">
        <f t="shared" si="2"/>
        <v/>
      </c>
      <c r="AN15" s="240" t="str">
        <f t="shared" si="3"/>
        <v/>
      </c>
      <c r="AO15" s="240" t="str">
        <f t="shared" si="4"/>
        <v/>
      </c>
      <c r="AP15" s="240" t="str">
        <f t="shared" si="5"/>
        <v/>
      </c>
      <c r="AQ15" s="240" t="str">
        <f t="shared" si="6"/>
        <v/>
      </c>
      <c r="AR15" s="240" t="str">
        <f t="shared" si="7"/>
        <v/>
      </c>
      <c r="AS15" s="240" t="str">
        <f t="shared" si="8"/>
        <v/>
      </c>
      <c r="AT15" s="240" t="str">
        <f t="shared" si="9"/>
        <v/>
      </c>
      <c r="AU15" s="240" t="str">
        <f t="shared" si="10"/>
        <v/>
      </c>
      <c r="AV15" s="240" t="str">
        <f t="shared" si="11"/>
        <v/>
      </c>
      <c r="AW15" s="240" t="str">
        <f t="shared" si="12"/>
        <v/>
      </c>
      <c r="AX15" s="240" t="str">
        <f t="shared" si="13"/>
        <v/>
      </c>
      <c r="AY15" s="240" t="str">
        <f t="shared" si="14"/>
        <v/>
      </c>
    </row>
    <row r="16" spans="1:51">
      <c r="A16" s="17" t="s">
        <v>255</v>
      </c>
      <c r="B16" s="242" t="s">
        <v>739</v>
      </c>
      <c r="C16" s="242" t="s">
        <v>740</v>
      </c>
      <c r="D16" s="242" t="s">
        <v>741</v>
      </c>
      <c r="E16" s="242" t="s">
        <v>742</v>
      </c>
      <c r="F16" s="242" t="s">
        <v>744</v>
      </c>
      <c r="G16" s="242"/>
      <c r="H16" s="242"/>
      <c r="I16" s="242"/>
      <c r="J16" s="242"/>
      <c r="K16" s="242"/>
      <c r="L16" s="242"/>
      <c r="M16" s="242"/>
      <c r="N16" s="242"/>
      <c r="O16" s="17" t="s">
        <v>255</v>
      </c>
      <c r="P16" s="240">
        <v>532134</v>
      </c>
      <c r="Q16" s="240">
        <v>532461</v>
      </c>
      <c r="R16" s="240">
        <v>532483</v>
      </c>
      <c r="S16" s="240">
        <v>532149</v>
      </c>
      <c r="T16" s="240">
        <v>532477</v>
      </c>
      <c r="U16" s="240"/>
      <c r="V16" s="240"/>
      <c r="W16" s="1"/>
      <c r="X16" s="1"/>
      <c r="Y16" s="1"/>
      <c r="Z16" s="1"/>
      <c r="AA16" s="1"/>
      <c r="AB16" s="1"/>
      <c r="AC16" s="1"/>
      <c r="AD16" s="17" t="s">
        <v>255</v>
      </c>
      <c r="AE16" s="240">
        <v>532134</v>
      </c>
      <c r="AF16" s="242" t="s">
        <v>739</v>
      </c>
      <c r="AG16" s="240">
        <v>532134</v>
      </c>
      <c r="AJ16" s="17" t="s">
        <v>255</v>
      </c>
      <c r="AK16" s="240" t="str">
        <f t="shared" si="0"/>
        <v>Bank of Baroda</v>
      </c>
      <c r="AL16" s="240" t="str">
        <f t="shared" si="1"/>
        <v>Punjab Natl.Bank</v>
      </c>
      <c r="AM16" s="240" t="str">
        <f t="shared" si="2"/>
        <v>Canara Bank</v>
      </c>
      <c r="AN16" s="240" t="str">
        <f t="shared" si="3"/>
        <v>Bank of India</v>
      </c>
      <c r="AO16" s="240" t="str">
        <f t="shared" si="4"/>
        <v>Union Bank (I)</v>
      </c>
      <c r="AP16" s="240" t="str">
        <f t="shared" si="5"/>
        <v/>
      </c>
      <c r="AQ16" s="240" t="str">
        <f t="shared" si="6"/>
        <v/>
      </c>
      <c r="AR16" s="240" t="str">
        <f t="shared" si="7"/>
        <v/>
      </c>
      <c r="AS16" s="240" t="str">
        <f t="shared" si="8"/>
        <v/>
      </c>
      <c r="AT16" s="240" t="str">
        <f t="shared" si="9"/>
        <v/>
      </c>
      <c r="AU16" s="240" t="str">
        <f t="shared" si="10"/>
        <v/>
      </c>
      <c r="AV16" s="240" t="str">
        <f t="shared" si="11"/>
        <v/>
      </c>
      <c r="AW16" s="240" t="str">
        <f t="shared" si="12"/>
        <v/>
      </c>
      <c r="AX16" s="240" t="str">
        <f t="shared" si="13"/>
        <v/>
      </c>
      <c r="AY16" s="240" t="str">
        <f t="shared" si="14"/>
        <v/>
      </c>
    </row>
    <row r="17" spans="1:51">
      <c r="A17" s="17" t="s">
        <v>318</v>
      </c>
      <c r="B17" s="242" t="s">
        <v>743</v>
      </c>
      <c r="C17" s="242" t="s">
        <v>1018</v>
      </c>
      <c r="D17" s="242" t="s">
        <v>1019</v>
      </c>
      <c r="E17" s="242" t="s">
        <v>1020</v>
      </c>
      <c r="F17" s="242" t="s">
        <v>1021</v>
      </c>
      <c r="G17" s="242" t="s">
        <v>1022</v>
      </c>
      <c r="H17" s="242" t="s">
        <v>1023</v>
      </c>
      <c r="I17" s="242" t="s">
        <v>1024</v>
      </c>
      <c r="J17" s="242" t="s">
        <v>1025</v>
      </c>
      <c r="K17" s="242" t="s">
        <v>1026</v>
      </c>
      <c r="L17" s="242"/>
      <c r="M17" s="242"/>
      <c r="N17" s="242"/>
      <c r="O17" s="17" t="s">
        <v>318</v>
      </c>
      <c r="P17" s="240">
        <v>500116</v>
      </c>
      <c r="Q17" s="240">
        <v>532885</v>
      </c>
      <c r="R17" s="240">
        <v>532505</v>
      </c>
      <c r="S17" s="1">
        <v>532388</v>
      </c>
      <c r="T17" s="1">
        <v>532814</v>
      </c>
      <c r="U17" s="1">
        <v>532276</v>
      </c>
      <c r="V17" s="1">
        <v>500315</v>
      </c>
      <c r="W17" s="1">
        <v>532179</v>
      </c>
      <c r="X17" s="1">
        <v>532480</v>
      </c>
      <c r="Y17" s="1">
        <v>532525</v>
      </c>
      <c r="Z17" s="1"/>
      <c r="AA17" s="1"/>
      <c r="AB17" s="1"/>
      <c r="AC17" s="1"/>
      <c r="AD17" s="17" t="s">
        <v>318</v>
      </c>
      <c r="AE17" s="240">
        <v>500116</v>
      </c>
      <c r="AF17" s="242" t="s">
        <v>743</v>
      </c>
      <c r="AG17" s="240">
        <v>500116</v>
      </c>
      <c r="AJ17" s="17" t="s">
        <v>318</v>
      </c>
      <c r="AK17" s="240" t="str">
        <f t="shared" si="0"/>
        <v>IDBI Bank</v>
      </c>
      <c r="AL17" s="240" t="str">
        <f t="shared" si="1"/>
        <v>Central Bank</v>
      </c>
      <c r="AM17" s="240" t="str">
        <f t="shared" si="2"/>
        <v>UCO Bank</v>
      </c>
      <c r="AN17" s="240" t="str">
        <f t="shared" si="3"/>
        <v>I O B</v>
      </c>
      <c r="AO17" s="240" t="str">
        <f t="shared" si="4"/>
        <v>Indian Bank</v>
      </c>
      <c r="AP17" s="240" t="str">
        <f t="shared" si="5"/>
        <v>Syndicate Bank</v>
      </c>
      <c r="AQ17" s="240" t="str">
        <f t="shared" si="6"/>
        <v>Oriental Bank</v>
      </c>
      <c r="AR17" s="240" t="str">
        <f t="shared" si="7"/>
        <v>Corporation Bank</v>
      </c>
      <c r="AS17" s="240" t="str">
        <f t="shared" si="8"/>
        <v>Allahabad Bank</v>
      </c>
      <c r="AT17" s="240" t="str">
        <f t="shared" si="9"/>
        <v>Bank of Maha</v>
      </c>
      <c r="AU17" s="240" t="str">
        <f t="shared" si="10"/>
        <v/>
      </c>
      <c r="AV17" s="240" t="str">
        <f t="shared" si="11"/>
        <v/>
      </c>
      <c r="AW17" s="240" t="str">
        <f t="shared" si="12"/>
        <v/>
      </c>
      <c r="AX17" s="240" t="str">
        <f t="shared" si="13"/>
        <v/>
      </c>
      <c r="AY17" s="240" t="str">
        <f t="shared" si="14"/>
        <v/>
      </c>
    </row>
    <row r="18" spans="1:51">
      <c r="A18" s="17" t="s">
        <v>346</v>
      </c>
      <c r="B18" s="242" t="s">
        <v>1027</v>
      </c>
      <c r="C18" s="242" t="s">
        <v>1028</v>
      </c>
      <c r="D18" s="242" t="s">
        <v>1029</v>
      </c>
      <c r="E18" s="242" t="s">
        <v>1030</v>
      </c>
      <c r="F18" s="242" t="s">
        <v>1031</v>
      </c>
      <c r="G18" s="242" t="s">
        <v>1032</v>
      </c>
      <c r="H18" s="242" t="s">
        <v>1033</v>
      </c>
      <c r="I18" s="242" t="s">
        <v>1034</v>
      </c>
      <c r="J18" s="242"/>
      <c r="K18" s="242"/>
      <c r="L18" s="242"/>
      <c r="M18" s="242"/>
      <c r="N18" s="242"/>
      <c r="O18" s="17" t="s">
        <v>346</v>
      </c>
      <c r="P18" s="240">
        <v>532401</v>
      </c>
      <c r="Q18" s="240">
        <v>501061</v>
      </c>
      <c r="R18" s="1">
        <v>532418</v>
      </c>
      <c r="S18" s="1">
        <v>532121</v>
      </c>
      <c r="T18" s="1">
        <v>533171</v>
      </c>
      <c r="U18" s="1">
        <v>532191</v>
      </c>
      <c r="V18" s="1">
        <v>532200</v>
      </c>
      <c r="W18" s="1">
        <v>533295</v>
      </c>
      <c r="X18" s="1"/>
      <c r="Y18" s="1"/>
      <c r="Z18" s="1"/>
      <c r="AA18" s="1"/>
      <c r="AB18" s="1"/>
      <c r="AC18" s="1"/>
      <c r="AD18" s="17" t="s">
        <v>346</v>
      </c>
      <c r="AE18" s="240">
        <v>532401</v>
      </c>
      <c r="AF18" s="242" t="s">
        <v>1027</v>
      </c>
      <c r="AG18" s="240">
        <v>532401</v>
      </c>
      <c r="AJ18" s="17" t="s">
        <v>346</v>
      </c>
      <c r="AK18" s="240" t="str">
        <f t="shared" si="0"/>
        <v>Vijaya Bank</v>
      </c>
      <c r="AL18" s="240" t="str">
        <f t="shared" si="1"/>
        <v>St Bk of Bikaner</v>
      </c>
      <c r="AM18" s="240" t="str">
        <f t="shared" si="2"/>
        <v>Andhra Bank</v>
      </c>
      <c r="AN18" s="240" t="str">
        <f t="shared" si="3"/>
        <v>Dena Bank</v>
      </c>
      <c r="AO18" s="240" t="str">
        <f t="shared" si="4"/>
        <v>United Bank (I)</v>
      </c>
      <c r="AP18" s="240" t="str">
        <f t="shared" si="5"/>
        <v>S B T</v>
      </c>
      <c r="AQ18" s="240" t="str">
        <f t="shared" si="6"/>
        <v>St Bk of Mysore</v>
      </c>
      <c r="AR18" s="240" t="str">
        <f t="shared" si="7"/>
        <v>Pun. &amp; Sind Bank</v>
      </c>
      <c r="AS18" s="240" t="str">
        <f t="shared" si="8"/>
        <v/>
      </c>
      <c r="AT18" s="240" t="str">
        <f t="shared" si="9"/>
        <v/>
      </c>
      <c r="AU18" s="240" t="str">
        <f t="shared" si="10"/>
        <v/>
      </c>
      <c r="AV18" s="240" t="str">
        <f t="shared" si="11"/>
        <v/>
      </c>
      <c r="AW18" s="240" t="str">
        <f t="shared" si="12"/>
        <v/>
      </c>
      <c r="AX18" s="240" t="str">
        <f t="shared" si="13"/>
        <v/>
      </c>
      <c r="AY18" s="240" t="str">
        <f t="shared" si="14"/>
        <v/>
      </c>
    </row>
    <row r="19" spans="1:51">
      <c r="A19" s="17" t="s">
        <v>317</v>
      </c>
      <c r="B19" s="242" t="s">
        <v>737</v>
      </c>
      <c r="C19" s="242" t="s">
        <v>736</v>
      </c>
      <c r="D19" s="242"/>
      <c r="E19" s="242"/>
      <c r="F19" s="242"/>
      <c r="G19" s="242"/>
      <c r="H19" s="242"/>
      <c r="I19" s="242"/>
      <c r="J19" s="242"/>
      <c r="K19" s="242"/>
      <c r="L19" s="242"/>
      <c r="M19" s="242"/>
      <c r="N19" s="242"/>
      <c r="O19" s="17" t="s">
        <v>317</v>
      </c>
      <c r="P19" s="240">
        <v>532478</v>
      </c>
      <c r="Q19" s="240">
        <v>532432</v>
      </c>
      <c r="R19" s="240"/>
      <c r="S19" s="1"/>
      <c r="T19" s="1"/>
      <c r="U19" s="1"/>
      <c r="V19" s="1"/>
      <c r="W19" s="1"/>
      <c r="X19" s="1"/>
      <c r="Y19" s="1"/>
      <c r="Z19" s="1"/>
      <c r="AA19" s="1"/>
      <c r="AB19" s="1"/>
      <c r="AC19" s="1"/>
      <c r="AD19" s="17" t="s">
        <v>317</v>
      </c>
      <c r="AE19" s="240">
        <v>532478</v>
      </c>
      <c r="AF19" s="242" t="s">
        <v>737</v>
      </c>
      <c r="AG19" s="240">
        <v>532478</v>
      </c>
      <c r="AJ19" s="17" t="s">
        <v>317</v>
      </c>
      <c r="AK19" s="240" t="str">
        <f t="shared" si="0"/>
        <v>United Breweries</v>
      </c>
      <c r="AL19" s="240" t="str">
        <f t="shared" si="1"/>
        <v>United Spirits</v>
      </c>
      <c r="AM19" s="240" t="str">
        <f t="shared" si="2"/>
        <v/>
      </c>
      <c r="AN19" s="240" t="str">
        <f t="shared" si="3"/>
        <v/>
      </c>
      <c r="AO19" s="240" t="str">
        <f t="shared" si="4"/>
        <v/>
      </c>
      <c r="AP19" s="240" t="str">
        <f t="shared" si="5"/>
        <v/>
      </c>
      <c r="AQ19" s="240" t="str">
        <f t="shared" si="6"/>
        <v/>
      </c>
      <c r="AR19" s="240" t="str">
        <f t="shared" si="7"/>
        <v/>
      </c>
      <c r="AS19" s="240" t="str">
        <f t="shared" si="8"/>
        <v/>
      </c>
      <c r="AT19" s="240" t="str">
        <f t="shared" si="9"/>
        <v/>
      </c>
      <c r="AU19" s="240" t="str">
        <f t="shared" si="10"/>
        <v/>
      </c>
      <c r="AV19" s="240" t="str">
        <f t="shared" si="11"/>
        <v/>
      </c>
      <c r="AW19" s="240" t="str">
        <f t="shared" si="12"/>
        <v/>
      </c>
      <c r="AX19" s="240" t="str">
        <f t="shared" si="13"/>
        <v/>
      </c>
      <c r="AY19" s="240" t="str">
        <f t="shared" si="14"/>
        <v/>
      </c>
    </row>
    <row r="20" spans="1:51">
      <c r="A20" s="17" t="s">
        <v>345</v>
      </c>
      <c r="B20" s="242" t="s">
        <v>734</v>
      </c>
      <c r="C20" s="242" t="s">
        <v>1035</v>
      </c>
      <c r="D20" s="242" t="s">
        <v>735</v>
      </c>
      <c r="E20" s="242" t="s">
        <v>1036</v>
      </c>
      <c r="F20" s="242"/>
      <c r="G20" s="242"/>
      <c r="H20" s="242"/>
      <c r="I20" s="242"/>
      <c r="J20" s="242"/>
      <c r="K20" s="242"/>
      <c r="L20" s="242"/>
      <c r="M20" s="242"/>
      <c r="N20" s="242"/>
      <c r="O20" s="17" t="s">
        <v>345</v>
      </c>
      <c r="P20" s="240">
        <v>532497</v>
      </c>
      <c r="Q20" s="240">
        <v>507514</v>
      </c>
      <c r="R20" s="242">
        <v>507205</v>
      </c>
      <c r="S20" s="1">
        <v>507435</v>
      </c>
      <c r="T20" s="1"/>
      <c r="U20" s="1"/>
      <c r="V20" s="1"/>
      <c r="W20" s="1"/>
      <c r="X20" s="1"/>
      <c r="Y20" s="1"/>
      <c r="Z20" s="1"/>
      <c r="AA20" s="1"/>
      <c r="AB20" s="1"/>
      <c r="AC20" s="1"/>
      <c r="AD20" s="17" t="s">
        <v>345</v>
      </c>
      <c r="AE20" s="240">
        <v>532497</v>
      </c>
      <c r="AF20" s="242" t="s">
        <v>734</v>
      </c>
      <c r="AG20" s="240">
        <v>532497</v>
      </c>
      <c r="AJ20" s="17" t="s">
        <v>345</v>
      </c>
      <c r="AK20" s="240" t="str">
        <f t="shared" si="0"/>
        <v>Radico Khaitan</v>
      </c>
      <c r="AL20" s="240" t="str">
        <f t="shared" si="1"/>
        <v>Som Distilleries</v>
      </c>
      <c r="AM20" s="240" t="str">
        <f t="shared" si="2"/>
        <v>Tilaknagar Inds.</v>
      </c>
      <c r="AN20" s="240" t="str">
        <f t="shared" si="3"/>
        <v>Khoday India</v>
      </c>
      <c r="AO20" s="240" t="str">
        <f t="shared" si="4"/>
        <v/>
      </c>
      <c r="AP20" s="240" t="str">
        <f t="shared" si="5"/>
        <v/>
      </c>
      <c r="AQ20" s="240" t="str">
        <f t="shared" si="6"/>
        <v/>
      </c>
      <c r="AR20" s="240" t="str">
        <f t="shared" si="7"/>
        <v/>
      </c>
      <c r="AS20" s="240" t="str">
        <f t="shared" si="8"/>
        <v/>
      </c>
      <c r="AT20" s="240" t="str">
        <f t="shared" si="9"/>
        <v/>
      </c>
      <c r="AU20" s="240" t="str">
        <f t="shared" si="10"/>
        <v/>
      </c>
      <c r="AV20" s="240" t="str">
        <f t="shared" si="11"/>
        <v/>
      </c>
      <c r="AW20" s="240" t="str">
        <f t="shared" si="12"/>
        <v/>
      </c>
      <c r="AX20" s="240" t="str">
        <f t="shared" si="13"/>
        <v/>
      </c>
      <c r="AY20" s="240" t="str">
        <f t="shared" si="14"/>
        <v/>
      </c>
    </row>
    <row r="21" spans="1:51">
      <c r="A21" s="17" t="s">
        <v>294</v>
      </c>
      <c r="B21" s="242" t="s">
        <v>733</v>
      </c>
      <c r="C21" s="242" t="s">
        <v>732</v>
      </c>
      <c r="D21" s="242" t="s">
        <v>1037</v>
      </c>
      <c r="E21" s="242" t="s">
        <v>1193</v>
      </c>
      <c r="F21" s="242" t="s">
        <v>932</v>
      </c>
      <c r="G21" s="242" t="s">
        <v>1194</v>
      </c>
      <c r="H21" s="242"/>
      <c r="I21" s="242"/>
      <c r="J21" s="242"/>
      <c r="K21" s="242"/>
      <c r="L21" s="242"/>
      <c r="M21" s="242"/>
      <c r="N21" s="242"/>
      <c r="O21" s="17" t="s">
        <v>294</v>
      </c>
      <c r="P21" s="240">
        <v>532683</v>
      </c>
      <c r="Q21" s="240">
        <v>500493</v>
      </c>
      <c r="R21" s="240">
        <v>513335</v>
      </c>
      <c r="S21" s="240">
        <v>532756</v>
      </c>
      <c r="T21" s="1">
        <v>522285</v>
      </c>
      <c r="U21" s="1">
        <v>500128</v>
      </c>
      <c r="V21" s="1"/>
      <c r="W21" s="1"/>
      <c r="X21" s="1"/>
      <c r="Y21" s="1"/>
      <c r="Z21" s="1"/>
      <c r="AA21" s="1"/>
      <c r="AB21" s="1"/>
      <c r="AC21" s="1"/>
      <c r="AD21" s="17" t="s">
        <v>294</v>
      </c>
      <c r="AE21" s="240">
        <v>532683</v>
      </c>
      <c r="AF21" s="242" t="s">
        <v>733</v>
      </c>
      <c r="AG21" s="240">
        <v>532683</v>
      </c>
      <c r="AJ21" s="17" t="s">
        <v>294</v>
      </c>
      <c r="AK21" s="240" t="str">
        <f t="shared" si="0"/>
        <v>AIA Engg.</v>
      </c>
      <c r="AL21" s="240" t="str">
        <f t="shared" si="1"/>
        <v>Bharat Forge</v>
      </c>
      <c r="AM21" s="240" t="str">
        <f t="shared" si="2"/>
        <v>Ahmednagar Forg.</v>
      </c>
      <c r="AN21" s="240" t="str">
        <f t="shared" si="3"/>
        <v>Mahindra CIE</v>
      </c>
      <c r="AO21" s="240" t="str">
        <f t="shared" si="4"/>
        <v>Jayaswal Neco</v>
      </c>
      <c r="AP21" s="240" t="str">
        <f t="shared" si="5"/>
        <v>Electrost.Cast.</v>
      </c>
      <c r="AQ21" s="240" t="str">
        <f t="shared" si="6"/>
        <v/>
      </c>
      <c r="AR21" s="240" t="str">
        <f t="shared" si="7"/>
        <v/>
      </c>
      <c r="AS21" s="240" t="str">
        <f t="shared" si="8"/>
        <v/>
      </c>
      <c r="AT21" s="240" t="str">
        <f t="shared" si="9"/>
        <v/>
      </c>
      <c r="AU21" s="240" t="str">
        <f t="shared" si="10"/>
        <v/>
      </c>
      <c r="AV21" s="240" t="str">
        <f t="shared" si="11"/>
        <v/>
      </c>
      <c r="AW21" s="240" t="str">
        <f t="shared" si="12"/>
        <v/>
      </c>
      <c r="AX21" s="240" t="str">
        <f t="shared" si="13"/>
        <v/>
      </c>
      <c r="AY21" s="240" t="str">
        <f t="shared" si="14"/>
        <v/>
      </c>
    </row>
    <row r="22" spans="1:51">
      <c r="A22" s="17" t="s">
        <v>254</v>
      </c>
      <c r="B22" s="242" t="s">
        <v>728</v>
      </c>
      <c r="C22" s="242" t="s">
        <v>729</v>
      </c>
      <c r="D22" s="242" t="s">
        <v>731</v>
      </c>
      <c r="E22" s="242" t="s">
        <v>730</v>
      </c>
      <c r="F22" s="242"/>
      <c r="G22" s="242"/>
      <c r="H22" s="242"/>
      <c r="I22" s="242"/>
      <c r="J22" s="242"/>
      <c r="K22" s="242"/>
      <c r="L22" s="242"/>
      <c r="M22" s="242"/>
      <c r="N22" s="242"/>
      <c r="O22" s="17" t="s">
        <v>254</v>
      </c>
      <c r="P22" s="240">
        <v>532538</v>
      </c>
      <c r="Q22" s="240">
        <v>500425</v>
      </c>
      <c r="R22" s="240">
        <v>500387</v>
      </c>
      <c r="S22" s="240">
        <v>500410</v>
      </c>
      <c r="T22" s="240"/>
      <c r="U22" s="240"/>
      <c r="V22" s="240"/>
      <c r="W22" s="1"/>
      <c r="X22" s="242"/>
      <c r="Y22" s="242"/>
      <c r="Z22" s="242"/>
      <c r="AA22" s="242"/>
      <c r="AB22" s="1"/>
      <c r="AC22" s="1"/>
      <c r="AD22" s="17" t="s">
        <v>254</v>
      </c>
      <c r="AE22" s="240">
        <v>532538</v>
      </c>
      <c r="AF22" s="242" t="s">
        <v>728</v>
      </c>
      <c r="AG22" s="240">
        <v>532538</v>
      </c>
      <c r="AJ22" s="17" t="s">
        <v>254</v>
      </c>
      <c r="AK22" s="240" t="str">
        <f t="shared" si="0"/>
        <v>UltraTech Cem.</v>
      </c>
      <c r="AL22" s="240" t="str">
        <f t="shared" si="1"/>
        <v>Ambuja Cem.</v>
      </c>
      <c r="AM22" s="240" t="str">
        <f t="shared" si="2"/>
        <v>Shree Cement</v>
      </c>
      <c r="AN22" s="240" t="str">
        <f t="shared" si="3"/>
        <v>ACC</v>
      </c>
      <c r="AO22" s="240" t="str">
        <f t="shared" si="4"/>
        <v/>
      </c>
      <c r="AP22" s="240" t="str">
        <f t="shared" si="5"/>
        <v/>
      </c>
      <c r="AQ22" s="240" t="str">
        <f t="shared" si="6"/>
        <v/>
      </c>
      <c r="AR22" s="240" t="str">
        <f t="shared" si="7"/>
        <v/>
      </c>
      <c r="AS22" s="240" t="str">
        <f t="shared" si="8"/>
        <v/>
      </c>
      <c r="AT22" s="240" t="str">
        <f t="shared" si="9"/>
        <v/>
      </c>
      <c r="AU22" s="240" t="str">
        <f t="shared" si="10"/>
        <v/>
      </c>
      <c r="AV22" s="240" t="str">
        <f t="shared" si="11"/>
        <v/>
      </c>
      <c r="AW22" s="240" t="str">
        <f t="shared" si="12"/>
        <v/>
      </c>
      <c r="AX22" s="240" t="str">
        <f t="shared" si="13"/>
        <v/>
      </c>
      <c r="AY22" s="240" t="str">
        <f t="shared" si="14"/>
        <v/>
      </c>
    </row>
    <row r="23" spans="1:51">
      <c r="A23" s="17" t="s">
        <v>344</v>
      </c>
      <c r="B23" s="242" t="s">
        <v>722</v>
      </c>
      <c r="C23" s="242" t="s">
        <v>727</v>
      </c>
      <c r="D23" s="242" t="s">
        <v>725</v>
      </c>
      <c r="E23" s="242" t="s">
        <v>723</v>
      </c>
      <c r="F23" s="242" t="s">
        <v>726</v>
      </c>
      <c r="G23" s="242" t="s">
        <v>724</v>
      </c>
      <c r="H23" s="242" t="s">
        <v>1228</v>
      </c>
      <c r="I23" s="242"/>
      <c r="J23" s="242"/>
      <c r="K23" s="242"/>
      <c r="L23" s="242"/>
      <c r="M23" s="242"/>
      <c r="N23" s="242"/>
      <c r="O23" s="17" t="s">
        <v>344</v>
      </c>
      <c r="P23" s="240">
        <v>500260</v>
      </c>
      <c r="Q23" s="240">
        <v>500380</v>
      </c>
      <c r="R23" s="242">
        <v>500338</v>
      </c>
      <c r="S23" s="1">
        <v>500335</v>
      </c>
      <c r="T23" s="1">
        <v>532644</v>
      </c>
      <c r="U23" s="1">
        <v>530005</v>
      </c>
      <c r="V23" s="1">
        <v>500040</v>
      </c>
      <c r="W23" s="1"/>
      <c r="X23" s="1"/>
      <c r="Y23" s="1"/>
      <c r="Z23" s="1"/>
      <c r="AA23" s="1"/>
      <c r="AB23" s="1"/>
      <c r="AC23" s="1"/>
      <c r="AD23" s="17" t="s">
        <v>344</v>
      </c>
      <c r="AE23" s="240">
        <v>500260</v>
      </c>
      <c r="AF23" s="242" t="s">
        <v>722</v>
      </c>
      <c r="AG23" s="240">
        <v>500260</v>
      </c>
      <c r="AJ23" s="17" t="s">
        <v>344</v>
      </c>
      <c r="AK23" s="240" t="str">
        <f t="shared" si="0"/>
        <v>The Ramco Cement</v>
      </c>
      <c r="AL23" s="240" t="str">
        <f t="shared" si="1"/>
        <v>JK Lakshmi Cem.</v>
      </c>
      <c r="AM23" s="240" t="str">
        <f t="shared" si="2"/>
        <v>Prism Cement</v>
      </c>
      <c r="AN23" s="240" t="str">
        <f t="shared" si="3"/>
        <v>Birla Corpn.</v>
      </c>
      <c r="AO23" s="240" t="str">
        <f t="shared" si="4"/>
        <v>J K Cements</v>
      </c>
      <c r="AP23" s="240" t="str">
        <f t="shared" si="5"/>
        <v>India Cements</v>
      </c>
      <c r="AQ23" s="240" t="str">
        <f t="shared" si="6"/>
        <v>Century Textiles</v>
      </c>
      <c r="AR23" s="240" t="str">
        <f t="shared" si="7"/>
        <v/>
      </c>
      <c r="AS23" s="240" t="str">
        <f t="shared" si="8"/>
        <v/>
      </c>
      <c r="AT23" s="240" t="str">
        <f t="shared" si="9"/>
        <v/>
      </c>
      <c r="AU23" s="240" t="str">
        <f t="shared" si="10"/>
        <v/>
      </c>
      <c r="AV23" s="240" t="str">
        <f t="shared" si="11"/>
        <v/>
      </c>
      <c r="AW23" s="240" t="str">
        <f t="shared" si="12"/>
        <v/>
      </c>
      <c r="AX23" s="240" t="str">
        <f t="shared" si="13"/>
        <v/>
      </c>
      <c r="AY23" s="240" t="str">
        <f t="shared" si="14"/>
        <v/>
      </c>
    </row>
    <row r="24" spans="1:51">
      <c r="A24" s="17" t="s">
        <v>343</v>
      </c>
      <c r="B24" s="242" t="s">
        <v>974</v>
      </c>
      <c r="C24" s="242" t="s">
        <v>1038</v>
      </c>
      <c r="D24" s="242" t="s">
        <v>1039</v>
      </c>
      <c r="E24" s="242" t="s">
        <v>1040</v>
      </c>
      <c r="F24" s="242" t="s">
        <v>1041</v>
      </c>
      <c r="G24" s="242"/>
      <c r="H24" s="242"/>
      <c r="I24" s="242"/>
      <c r="J24" s="242"/>
      <c r="K24" s="242"/>
      <c r="L24" s="242"/>
      <c r="M24" s="242"/>
      <c r="N24" s="242"/>
      <c r="O24" s="17" t="s">
        <v>343</v>
      </c>
      <c r="P24" s="240">
        <v>535754</v>
      </c>
      <c r="Q24" s="240">
        <v>500292</v>
      </c>
      <c r="R24" s="1">
        <v>502165</v>
      </c>
      <c r="S24" s="1">
        <v>526521</v>
      </c>
      <c r="T24" s="1">
        <v>536666</v>
      </c>
      <c r="U24" s="1"/>
      <c r="V24" s="1"/>
      <c r="W24" s="1"/>
      <c r="X24" s="1"/>
      <c r="Y24" s="1"/>
      <c r="Z24" s="1"/>
      <c r="AA24" s="1"/>
      <c r="AB24" s="1"/>
      <c r="AC24" s="1"/>
      <c r="AD24" s="17" t="s">
        <v>343</v>
      </c>
      <c r="AE24" s="240">
        <v>535754</v>
      </c>
      <c r="AF24" s="242" t="s">
        <v>974</v>
      </c>
      <c r="AG24" s="240">
        <v>535754</v>
      </c>
      <c r="AJ24" s="17" t="s">
        <v>343</v>
      </c>
      <c r="AK24" s="240" t="str">
        <f t="shared" si="0"/>
        <v>Orient Cement</v>
      </c>
      <c r="AL24" s="240" t="str">
        <f t="shared" si="1"/>
        <v>Heidelberg Cem.</v>
      </c>
      <c r="AM24" s="240" t="str">
        <f t="shared" si="2"/>
        <v>OCL India</v>
      </c>
      <c r="AN24" s="240" t="str">
        <f t="shared" si="3"/>
        <v>Sanghi Inds.</v>
      </c>
      <c r="AO24" s="240" t="str">
        <f t="shared" si="4"/>
        <v>Star Ferro Cem.</v>
      </c>
      <c r="AP24" s="240" t="str">
        <f t="shared" si="5"/>
        <v/>
      </c>
      <c r="AQ24" s="240" t="str">
        <f t="shared" si="6"/>
        <v/>
      </c>
      <c r="AR24" s="240" t="str">
        <f t="shared" si="7"/>
        <v/>
      </c>
      <c r="AS24" s="240" t="str">
        <f t="shared" si="8"/>
        <v/>
      </c>
      <c r="AT24" s="240" t="str">
        <f t="shared" si="9"/>
        <v/>
      </c>
      <c r="AU24" s="240" t="str">
        <f t="shared" si="10"/>
        <v/>
      </c>
      <c r="AV24" s="240" t="str">
        <f t="shared" si="11"/>
        <v/>
      </c>
      <c r="AW24" s="240" t="str">
        <f t="shared" si="12"/>
        <v/>
      </c>
      <c r="AX24" s="240" t="str">
        <f t="shared" si="13"/>
        <v/>
      </c>
      <c r="AY24" s="240" t="str">
        <f t="shared" si="14"/>
        <v/>
      </c>
    </row>
    <row r="25" spans="1:51">
      <c r="A25" s="17" t="s">
        <v>293</v>
      </c>
      <c r="B25" s="242" t="s">
        <v>1042</v>
      </c>
      <c r="C25" s="242" t="s">
        <v>947</v>
      </c>
      <c r="D25" s="242" t="s">
        <v>972</v>
      </c>
      <c r="E25" s="242" t="s">
        <v>507</v>
      </c>
      <c r="F25" s="242" t="s">
        <v>1043</v>
      </c>
      <c r="G25" s="242" t="s">
        <v>943</v>
      </c>
      <c r="H25" s="242" t="s">
        <v>1044</v>
      </c>
      <c r="I25" s="242" t="s">
        <v>1045</v>
      </c>
      <c r="J25" s="242"/>
      <c r="K25" s="242"/>
      <c r="L25" s="242"/>
      <c r="M25" s="242"/>
      <c r="N25" s="242"/>
      <c r="O25" s="17" t="s">
        <v>293</v>
      </c>
      <c r="P25" s="240">
        <v>504741</v>
      </c>
      <c r="Q25" s="240">
        <v>590066</v>
      </c>
      <c r="R25" s="240">
        <v>502157</v>
      </c>
      <c r="S25" s="240">
        <v>502420</v>
      </c>
      <c r="T25" s="242">
        <v>502090</v>
      </c>
      <c r="U25" s="242">
        <v>532369</v>
      </c>
      <c r="V25" s="242">
        <v>509675</v>
      </c>
      <c r="W25" s="242">
        <v>530131</v>
      </c>
      <c r="X25" s="242"/>
      <c r="Y25" s="242"/>
      <c r="Z25" s="1"/>
      <c r="AA25" s="1"/>
      <c r="AB25" s="1"/>
      <c r="AC25" s="1"/>
      <c r="AD25" s="17" t="s">
        <v>293</v>
      </c>
      <c r="AE25" s="240">
        <v>504741</v>
      </c>
      <c r="AF25" s="242" t="s">
        <v>1042</v>
      </c>
      <c r="AG25" s="240">
        <v>504741</v>
      </c>
      <c r="AJ25" s="17" t="s">
        <v>293</v>
      </c>
      <c r="AK25" s="240" t="str">
        <f t="shared" si="0"/>
        <v>Indian Hume Pipe</v>
      </c>
      <c r="AL25" s="240" t="str">
        <f t="shared" si="1"/>
        <v>K C P</v>
      </c>
      <c r="AM25" s="240" t="str">
        <f t="shared" si="2"/>
        <v>Mangalam Cement</v>
      </c>
      <c r="AN25" s="240" t="str">
        <f t="shared" si="3"/>
        <v>Orient Paper</v>
      </c>
      <c r="AO25" s="240" t="str">
        <f t="shared" si="4"/>
        <v>Sagar Cements</v>
      </c>
      <c r="AP25" s="240" t="str">
        <f t="shared" si="5"/>
        <v>Ramco Inds.</v>
      </c>
      <c r="AQ25" s="240" t="str">
        <f t="shared" si="6"/>
        <v>Hil Ltd</v>
      </c>
      <c r="AR25" s="240" t="str">
        <f t="shared" si="7"/>
        <v>Udaipur Cement</v>
      </c>
      <c r="AS25" s="240" t="str">
        <f t="shared" si="8"/>
        <v/>
      </c>
      <c r="AT25" s="240" t="str">
        <f t="shared" si="9"/>
        <v/>
      </c>
      <c r="AU25" s="240" t="str">
        <f t="shared" si="10"/>
        <v/>
      </c>
      <c r="AV25" s="240" t="str">
        <f t="shared" si="11"/>
        <v/>
      </c>
      <c r="AW25" s="240" t="str">
        <f t="shared" si="12"/>
        <v/>
      </c>
      <c r="AX25" s="240" t="str">
        <f t="shared" si="13"/>
        <v/>
      </c>
      <c r="AY25" s="240" t="str">
        <f t="shared" si="14"/>
        <v/>
      </c>
    </row>
    <row r="26" spans="1:51">
      <c r="A26" s="17" t="s">
        <v>342</v>
      </c>
      <c r="B26" s="242" t="s">
        <v>721</v>
      </c>
      <c r="C26" s="242" t="s">
        <v>1046</v>
      </c>
      <c r="D26" s="242" t="s">
        <v>720</v>
      </c>
      <c r="E26" s="242" t="s">
        <v>1047</v>
      </c>
      <c r="G26" s="242"/>
      <c r="H26" s="242"/>
      <c r="I26" s="242"/>
      <c r="J26" s="242"/>
      <c r="K26" s="242"/>
      <c r="L26" s="242"/>
      <c r="M26" s="242"/>
      <c r="N26" s="242"/>
      <c r="O26" s="17" t="s">
        <v>342</v>
      </c>
      <c r="P26" s="240">
        <v>500187</v>
      </c>
      <c r="Q26" s="240">
        <v>532443</v>
      </c>
      <c r="R26" s="1">
        <v>500233</v>
      </c>
      <c r="S26" s="1">
        <v>531548</v>
      </c>
      <c r="T26" s="1"/>
      <c r="U26" s="1"/>
      <c r="V26" s="1"/>
      <c r="W26" s="1"/>
      <c r="X26" s="1"/>
      <c r="Y26" s="1"/>
      <c r="Z26" s="1"/>
      <c r="AA26" s="1"/>
      <c r="AB26" s="1"/>
      <c r="AC26" s="1"/>
      <c r="AD26" s="17" t="s">
        <v>342</v>
      </c>
      <c r="AE26" s="240">
        <v>500187</v>
      </c>
      <c r="AF26" s="242" t="s">
        <v>721</v>
      </c>
      <c r="AG26" s="240">
        <v>500187</v>
      </c>
      <c r="AJ26" s="17" t="s">
        <v>342</v>
      </c>
      <c r="AK26" s="240" t="str">
        <f t="shared" si="0"/>
        <v>HSIL</v>
      </c>
      <c r="AL26" s="240" t="str">
        <f t="shared" si="1"/>
        <v>Cera Sanitary.</v>
      </c>
      <c r="AM26" s="240" t="str">
        <f t="shared" si="2"/>
        <v>Kajaria Ceramics</v>
      </c>
      <c r="AN26" s="240" t="str">
        <f t="shared" si="3"/>
        <v>Somany Ceramics</v>
      </c>
      <c r="AO26" s="240" t="str">
        <f t="shared" si="4"/>
        <v/>
      </c>
      <c r="AP26" s="240" t="str">
        <f t="shared" si="5"/>
        <v/>
      </c>
      <c r="AQ26" s="240" t="str">
        <f t="shared" si="6"/>
        <v/>
      </c>
      <c r="AR26" s="240" t="str">
        <f t="shared" si="7"/>
        <v/>
      </c>
      <c r="AS26" s="240" t="str">
        <f t="shared" si="8"/>
        <v/>
      </c>
      <c r="AT26" s="240" t="str">
        <f t="shared" si="9"/>
        <v/>
      </c>
      <c r="AU26" s="240" t="str">
        <f t="shared" si="10"/>
        <v/>
      </c>
      <c r="AV26" s="240" t="str">
        <f t="shared" si="11"/>
        <v/>
      </c>
      <c r="AW26" s="240" t="str">
        <f t="shared" si="12"/>
        <v/>
      </c>
      <c r="AX26" s="240" t="str">
        <f t="shared" si="13"/>
        <v/>
      </c>
      <c r="AY26" s="240" t="str">
        <f t="shared" si="14"/>
        <v/>
      </c>
    </row>
    <row r="27" spans="1:51">
      <c r="A27" s="17" t="s">
        <v>316</v>
      </c>
      <c r="B27" s="242" t="s">
        <v>719</v>
      </c>
      <c r="C27" s="242" t="s">
        <v>718</v>
      </c>
      <c r="D27" s="242" t="s">
        <v>938</v>
      </c>
      <c r="E27" s="242"/>
      <c r="F27" s="242"/>
      <c r="G27" s="242"/>
      <c r="H27" s="242"/>
      <c r="I27" s="242"/>
      <c r="J27" s="242"/>
      <c r="K27" s="242"/>
      <c r="L27" s="242"/>
      <c r="M27" s="242"/>
      <c r="N27" s="242"/>
      <c r="O27" s="17" t="s">
        <v>316</v>
      </c>
      <c r="P27" s="240">
        <v>500164</v>
      </c>
      <c r="Q27" s="240">
        <v>500331</v>
      </c>
      <c r="R27" s="240">
        <v>524208</v>
      </c>
      <c r="S27" s="1"/>
      <c r="T27" s="1"/>
      <c r="U27" s="1"/>
      <c r="V27" s="1"/>
      <c r="W27" s="1"/>
      <c r="X27" s="1"/>
      <c r="Y27" s="1"/>
      <c r="Z27" s="1"/>
      <c r="AA27" s="1"/>
      <c r="AB27" s="1"/>
      <c r="AC27" s="1"/>
      <c r="AD27" s="17" t="s">
        <v>316</v>
      </c>
      <c r="AE27" s="240">
        <v>500164</v>
      </c>
      <c r="AF27" s="242" t="s">
        <v>719</v>
      </c>
      <c r="AG27" s="240">
        <v>500164</v>
      </c>
      <c r="AJ27" s="17" t="s">
        <v>316</v>
      </c>
      <c r="AK27" s="240" t="str">
        <f t="shared" si="0"/>
        <v>Godrej Inds.</v>
      </c>
      <c r="AL27" s="240" t="str">
        <f t="shared" si="1"/>
        <v>Pidilite Inds.</v>
      </c>
      <c r="AM27" s="240" t="str">
        <f t="shared" si="2"/>
        <v>Aarti Inds.</v>
      </c>
      <c r="AN27" s="240" t="str">
        <f t="shared" si="3"/>
        <v/>
      </c>
      <c r="AO27" s="240" t="str">
        <f t="shared" si="4"/>
        <v/>
      </c>
      <c r="AP27" s="240" t="str">
        <f t="shared" si="5"/>
        <v/>
      </c>
      <c r="AQ27" s="240" t="str">
        <f t="shared" si="6"/>
        <v/>
      </c>
      <c r="AR27" s="240" t="str">
        <f t="shared" si="7"/>
        <v/>
      </c>
      <c r="AS27" s="240" t="str">
        <f t="shared" si="8"/>
        <v/>
      </c>
      <c r="AT27" s="240" t="str">
        <f t="shared" si="9"/>
        <v/>
      </c>
      <c r="AU27" s="240" t="str">
        <f t="shared" si="10"/>
        <v/>
      </c>
      <c r="AV27" s="240" t="str">
        <f t="shared" si="11"/>
        <v/>
      </c>
      <c r="AW27" s="240" t="str">
        <f t="shared" si="12"/>
        <v/>
      </c>
      <c r="AX27" s="240" t="str">
        <f t="shared" si="13"/>
        <v/>
      </c>
      <c r="AY27" s="240" t="str">
        <f t="shared" si="14"/>
        <v/>
      </c>
    </row>
    <row r="28" spans="1:51">
      <c r="A28" s="17" t="s">
        <v>315</v>
      </c>
      <c r="B28" s="242" t="s">
        <v>717</v>
      </c>
      <c r="C28" s="242" t="s">
        <v>1048</v>
      </c>
      <c r="D28" s="242" t="s">
        <v>716</v>
      </c>
      <c r="E28" s="242" t="s">
        <v>1310</v>
      </c>
      <c r="F28" s="242" t="s">
        <v>1229</v>
      </c>
      <c r="G28" s="242"/>
      <c r="H28" s="242"/>
      <c r="I28" s="242"/>
      <c r="J28" s="242"/>
      <c r="K28" s="242"/>
      <c r="L28" s="242"/>
      <c r="M28" s="242"/>
      <c r="N28" s="242"/>
      <c r="O28" s="17" t="s">
        <v>315</v>
      </c>
      <c r="P28" s="240">
        <v>500027</v>
      </c>
      <c r="Q28" s="240">
        <v>506655</v>
      </c>
      <c r="R28" s="240">
        <v>530001</v>
      </c>
      <c r="S28" s="1">
        <v>506390</v>
      </c>
      <c r="T28" s="1">
        <v>500042</v>
      </c>
      <c r="U28" s="1"/>
      <c r="V28" s="1"/>
      <c r="W28" s="1"/>
      <c r="X28" s="1"/>
      <c r="Y28" s="1"/>
      <c r="Z28" s="1"/>
      <c r="AA28" s="1"/>
      <c r="AB28" s="1"/>
      <c r="AC28" s="1"/>
      <c r="AD28" s="17" t="s">
        <v>315</v>
      </c>
      <c r="AE28" s="240">
        <v>500027</v>
      </c>
      <c r="AF28" s="242" t="s">
        <v>717</v>
      </c>
      <c r="AG28" s="240">
        <v>500027</v>
      </c>
      <c r="AJ28" s="17" t="s">
        <v>315</v>
      </c>
      <c r="AK28" s="240" t="str">
        <f t="shared" si="0"/>
        <v>Atul</v>
      </c>
      <c r="AL28" s="240" t="str">
        <f t="shared" si="1"/>
        <v>Sudarshan Chem.</v>
      </c>
      <c r="AM28" s="240" t="str">
        <f t="shared" si="2"/>
        <v>Guj Alkalies</v>
      </c>
      <c r="AN28" s="240" t="str">
        <f t="shared" si="3"/>
        <v>Clariant Chemicals</v>
      </c>
      <c r="AO28" s="240" t="str">
        <f t="shared" si="4"/>
        <v>BASF India</v>
      </c>
      <c r="AP28" s="240" t="str">
        <f t="shared" si="5"/>
        <v/>
      </c>
      <c r="AQ28" s="240" t="str">
        <f t="shared" si="6"/>
        <v/>
      </c>
      <c r="AR28" s="240" t="str">
        <f t="shared" si="7"/>
        <v/>
      </c>
      <c r="AS28" s="240" t="str">
        <f t="shared" si="8"/>
        <v/>
      </c>
      <c r="AT28" s="240" t="str">
        <f t="shared" si="9"/>
        <v/>
      </c>
      <c r="AU28" s="240" t="str">
        <f t="shared" si="10"/>
        <v/>
      </c>
      <c r="AV28" s="240" t="str">
        <f t="shared" si="11"/>
        <v/>
      </c>
      <c r="AW28" s="240" t="str">
        <f t="shared" si="12"/>
        <v/>
      </c>
      <c r="AX28" s="240" t="str">
        <f t="shared" si="13"/>
        <v/>
      </c>
      <c r="AY28" s="240" t="str">
        <f t="shared" si="14"/>
        <v/>
      </c>
    </row>
    <row r="29" spans="1:51">
      <c r="A29" s="17" t="s">
        <v>314</v>
      </c>
      <c r="B29" s="242" t="s">
        <v>715</v>
      </c>
      <c r="C29" s="242" t="s">
        <v>714</v>
      </c>
      <c r="D29" s="242"/>
      <c r="E29" s="242"/>
      <c r="F29" s="242"/>
      <c r="G29" s="242"/>
      <c r="H29" s="242"/>
      <c r="I29" s="242"/>
      <c r="J29" s="242"/>
      <c r="K29" s="242"/>
      <c r="L29" s="242"/>
      <c r="M29" s="242"/>
      <c r="N29" s="242"/>
      <c r="O29" s="17" t="s">
        <v>314</v>
      </c>
      <c r="P29" s="240">
        <v>500163</v>
      </c>
      <c r="Q29" s="240">
        <v>509966</v>
      </c>
      <c r="R29" s="240"/>
      <c r="S29" s="242"/>
      <c r="T29" s="242"/>
      <c r="U29" s="242"/>
      <c r="V29" s="1"/>
      <c r="W29" s="1"/>
      <c r="X29" s="1"/>
      <c r="Y29" s="1"/>
      <c r="Z29" s="1"/>
      <c r="AA29" s="1"/>
      <c r="AB29" s="1"/>
      <c r="AC29" s="1"/>
      <c r="AD29" s="17" t="s">
        <v>314</v>
      </c>
      <c r="AE29" s="240">
        <v>500163</v>
      </c>
      <c r="AF29" s="242" t="s">
        <v>715</v>
      </c>
      <c r="AG29" s="240">
        <v>500163</v>
      </c>
      <c r="AJ29" s="17" t="s">
        <v>314</v>
      </c>
      <c r="AK29" s="240" t="str">
        <f t="shared" si="0"/>
        <v>Godfrey Phillips</v>
      </c>
      <c r="AL29" s="240" t="str">
        <f t="shared" si="1"/>
        <v>VST Inds.</v>
      </c>
      <c r="AM29" s="240" t="str">
        <f t="shared" si="2"/>
        <v/>
      </c>
      <c r="AN29" s="240" t="str">
        <f t="shared" si="3"/>
        <v/>
      </c>
      <c r="AO29" s="240" t="str">
        <f t="shared" si="4"/>
        <v/>
      </c>
      <c r="AP29" s="240" t="str">
        <f t="shared" si="5"/>
        <v/>
      </c>
      <c r="AQ29" s="240" t="str">
        <f t="shared" si="6"/>
        <v/>
      </c>
      <c r="AR29" s="240" t="str">
        <f t="shared" si="7"/>
        <v/>
      </c>
      <c r="AS29" s="240" t="str">
        <f t="shared" si="8"/>
        <v/>
      </c>
      <c r="AT29" s="240" t="str">
        <f t="shared" si="9"/>
        <v/>
      </c>
      <c r="AU29" s="240" t="str">
        <f t="shared" si="10"/>
        <v/>
      </c>
      <c r="AV29" s="240" t="str">
        <f t="shared" si="11"/>
        <v/>
      </c>
      <c r="AW29" s="240" t="str">
        <f t="shared" si="12"/>
        <v/>
      </c>
      <c r="AX29" s="240" t="str">
        <f t="shared" si="13"/>
        <v/>
      </c>
      <c r="AY29" s="240" t="str">
        <f t="shared" si="14"/>
        <v/>
      </c>
    </row>
    <row r="30" spans="1:51">
      <c r="A30" s="17" t="s">
        <v>313</v>
      </c>
      <c r="B30" s="242" t="s">
        <v>713</v>
      </c>
      <c r="C30" s="242" t="s">
        <v>712</v>
      </c>
      <c r="D30" s="242" t="s">
        <v>711</v>
      </c>
      <c r="H30" s="242"/>
      <c r="I30" s="242"/>
      <c r="J30" s="242"/>
      <c r="K30" s="242"/>
      <c r="L30" s="242"/>
      <c r="M30" s="242"/>
      <c r="N30" s="242"/>
      <c r="O30" s="17" t="s">
        <v>313</v>
      </c>
      <c r="P30" s="240">
        <v>532835</v>
      </c>
      <c r="Q30" s="240">
        <v>534804</v>
      </c>
      <c r="R30" s="240">
        <v>500092</v>
      </c>
      <c r="S30" s="1"/>
      <c r="T30" s="1"/>
      <c r="U30" s="1"/>
      <c r="V30" s="1"/>
      <c r="W30" s="1"/>
      <c r="X30" s="1"/>
      <c r="Y30" s="1"/>
      <c r="Z30" s="1"/>
      <c r="AA30" s="1"/>
      <c r="AB30" s="1"/>
      <c r="AC30" s="1"/>
      <c r="AD30" s="17" t="s">
        <v>313</v>
      </c>
      <c r="AE30" s="240">
        <v>532835</v>
      </c>
      <c r="AF30" s="242" t="s">
        <v>713</v>
      </c>
      <c r="AG30" s="240">
        <v>532835</v>
      </c>
      <c r="AJ30" s="17" t="s">
        <v>313</v>
      </c>
      <c r="AK30" s="240" t="str">
        <f t="shared" si="0"/>
        <v>ICRA</v>
      </c>
      <c r="AL30" s="240" t="str">
        <f t="shared" si="1"/>
        <v>Credit Analysis</v>
      </c>
      <c r="AM30" s="240" t="str">
        <f t="shared" si="2"/>
        <v>CRISIL</v>
      </c>
      <c r="AN30" s="240" t="str">
        <f t="shared" si="3"/>
        <v/>
      </c>
      <c r="AO30" s="240" t="str">
        <f t="shared" si="4"/>
        <v/>
      </c>
      <c r="AP30" s="240" t="str">
        <f t="shared" si="5"/>
        <v/>
      </c>
      <c r="AQ30" s="240" t="str">
        <f t="shared" si="6"/>
        <v/>
      </c>
      <c r="AR30" s="240" t="str">
        <f t="shared" si="7"/>
        <v/>
      </c>
      <c r="AS30" s="240" t="str">
        <f t="shared" si="8"/>
        <v/>
      </c>
      <c r="AT30" s="240" t="str">
        <f t="shared" si="9"/>
        <v/>
      </c>
      <c r="AU30" s="240" t="str">
        <f t="shared" si="10"/>
        <v/>
      </c>
      <c r="AV30" s="240" t="str">
        <f t="shared" si="11"/>
        <v/>
      </c>
      <c r="AW30" s="240" t="str">
        <f t="shared" si="12"/>
        <v/>
      </c>
      <c r="AX30" s="240" t="str">
        <f t="shared" si="13"/>
        <v/>
      </c>
      <c r="AY30" s="240" t="str">
        <f t="shared" si="14"/>
        <v/>
      </c>
    </row>
    <row r="31" spans="1:51">
      <c r="A31" s="17" t="s">
        <v>292</v>
      </c>
      <c r="B31" s="242" t="s">
        <v>959</v>
      </c>
      <c r="C31" s="242" t="s">
        <v>968</v>
      </c>
      <c r="D31" s="242" t="s">
        <v>970</v>
      </c>
      <c r="E31" s="242"/>
      <c r="F31" s="242"/>
      <c r="G31" s="242"/>
      <c r="H31" s="242"/>
      <c r="I31" s="242"/>
      <c r="J31" s="242"/>
      <c r="K31" s="242"/>
      <c r="L31" s="242"/>
      <c r="M31" s="242"/>
      <c r="N31" s="242"/>
      <c r="O31" s="17" t="s">
        <v>292</v>
      </c>
      <c r="P31" s="240">
        <v>533540</v>
      </c>
      <c r="Q31" s="240">
        <v>533260</v>
      </c>
      <c r="R31" s="240">
        <v>534312</v>
      </c>
      <c r="S31" s="240"/>
      <c r="T31" s="1"/>
      <c r="U31" s="1"/>
      <c r="V31" s="1"/>
      <c r="W31" s="1"/>
      <c r="X31" s="1"/>
      <c r="Y31" s="1"/>
      <c r="Z31" s="1"/>
      <c r="AA31" s="1"/>
      <c r="AB31" s="1"/>
      <c r="AC31" s="1"/>
      <c r="AD31" s="17" t="s">
        <v>292</v>
      </c>
      <c r="AE31" s="240">
        <v>533540</v>
      </c>
      <c r="AF31" s="242" t="s">
        <v>959</v>
      </c>
      <c r="AG31" s="240">
        <v>533540</v>
      </c>
      <c r="AJ31" s="17" t="s">
        <v>292</v>
      </c>
      <c r="AK31" s="240" t="str">
        <f t="shared" si="0"/>
        <v>Tree House Edu.</v>
      </c>
      <c r="AL31" s="240" t="str">
        <f t="shared" si="1"/>
        <v>Career Point</v>
      </c>
      <c r="AM31" s="240" t="str">
        <f t="shared" si="2"/>
        <v>MT Educare</v>
      </c>
      <c r="AN31" s="240" t="str">
        <f t="shared" si="3"/>
        <v/>
      </c>
      <c r="AO31" s="240" t="str">
        <f t="shared" si="4"/>
        <v/>
      </c>
      <c r="AP31" s="240" t="str">
        <f t="shared" si="5"/>
        <v/>
      </c>
      <c r="AQ31" s="240" t="str">
        <f t="shared" si="6"/>
        <v/>
      </c>
      <c r="AR31" s="240" t="str">
        <f t="shared" si="7"/>
        <v/>
      </c>
      <c r="AS31" s="240" t="str">
        <f t="shared" si="8"/>
        <v/>
      </c>
      <c r="AT31" s="240" t="str">
        <f t="shared" si="9"/>
        <v/>
      </c>
      <c r="AU31" s="240" t="str">
        <f t="shared" si="10"/>
        <v/>
      </c>
      <c r="AV31" s="240" t="str">
        <f t="shared" si="11"/>
        <v/>
      </c>
      <c r="AW31" s="240" t="str">
        <f t="shared" si="12"/>
        <v/>
      </c>
      <c r="AX31" s="240" t="str">
        <f t="shared" si="13"/>
        <v/>
      </c>
      <c r="AY31" s="240" t="str">
        <f t="shared" si="14"/>
        <v/>
      </c>
    </row>
    <row r="32" spans="1:51">
      <c r="A32" s="17" t="s">
        <v>271</v>
      </c>
      <c r="B32" s="242" t="s">
        <v>709</v>
      </c>
      <c r="C32" s="242" t="s">
        <v>710</v>
      </c>
      <c r="D32" s="242" t="s">
        <v>1049</v>
      </c>
      <c r="E32" s="242"/>
      <c r="F32" s="242"/>
      <c r="G32" s="242"/>
      <c r="H32" s="242"/>
      <c r="I32" s="242"/>
      <c r="J32" s="242"/>
      <c r="K32" s="242"/>
      <c r="L32" s="242"/>
      <c r="M32" s="242"/>
      <c r="N32" s="242"/>
      <c r="O32" s="17" t="s">
        <v>271</v>
      </c>
      <c r="P32" s="242">
        <v>500210</v>
      </c>
      <c r="Q32" s="240">
        <v>522074</v>
      </c>
      <c r="R32" s="240">
        <v>505283</v>
      </c>
      <c r="S32" s="240"/>
      <c r="T32" s="240"/>
      <c r="U32" s="242"/>
      <c r="V32" s="242"/>
      <c r="W32" s="1"/>
      <c r="X32" s="1"/>
      <c r="Y32" s="1"/>
      <c r="Z32" s="1"/>
      <c r="AA32" s="1"/>
      <c r="AB32" s="1"/>
      <c r="AC32" s="1"/>
      <c r="AD32" s="17" t="s">
        <v>271</v>
      </c>
      <c r="AE32" s="242">
        <v>500210</v>
      </c>
      <c r="AF32" s="242" t="s">
        <v>709</v>
      </c>
      <c r="AG32" s="242">
        <v>500210</v>
      </c>
      <c r="AJ32" s="17" t="s">
        <v>271</v>
      </c>
      <c r="AK32" s="240" t="str">
        <f t="shared" si="0"/>
        <v>Ingersoll-Rand</v>
      </c>
      <c r="AL32" s="240" t="str">
        <f t="shared" si="1"/>
        <v>Elgi Equipment</v>
      </c>
      <c r="AM32" s="240" t="str">
        <f t="shared" si="2"/>
        <v>Kirl.Pneumatic</v>
      </c>
      <c r="AN32" s="240" t="str">
        <f t="shared" si="3"/>
        <v/>
      </c>
      <c r="AO32" s="240" t="str">
        <f t="shared" si="4"/>
        <v/>
      </c>
      <c r="AP32" s="240" t="str">
        <f t="shared" si="5"/>
        <v/>
      </c>
      <c r="AQ32" s="240" t="str">
        <f t="shared" si="6"/>
        <v/>
      </c>
      <c r="AR32" s="240" t="str">
        <f t="shared" si="7"/>
        <v/>
      </c>
      <c r="AS32" s="240" t="str">
        <f t="shared" si="8"/>
        <v/>
      </c>
      <c r="AT32" s="240" t="str">
        <f t="shared" si="9"/>
        <v/>
      </c>
      <c r="AU32" s="240" t="str">
        <f t="shared" si="10"/>
        <v/>
      </c>
      <c r="AV32" s="240" t="str">
        <f t="shared" si="11"/>
        <v/>
      </c>
      <c r="AW32" s="240" t="str">
        <f t="shared" si="12"/>
        <v/>
      </c>
      <c r="AX32" s="240" t="str">
        <f t="shared" si="13"/>
        <v/>
      </c>
      <c r="AY32" s="240" t="str">
        <f t="shared" si="14"/>
        <v/>
      </c>
    </row>
    <row r="33" spans="1:51">
      <c r="A33" s="17" t="s">
        <v>312</v>
      </c>
      <c r="B33" s="242" t="s">
        <v>1050</v>
      </c>
      <c r="C33" s="242" t="s">
        <v>705</v>
      </c>
      <c r="D33" s="242" t="s">
        <v>706</v>
      </c>
      <c r="E33" s="242" t="s">
        <v>1051</v>
      </c>
      <c r="F33" s="242" t="s">
        <v>707</v>
      </c>
      <c r="G33" s="242"/>
      <c r="H33" s="242"/>
      <c r="I33" s="242"/>
      <c r="J33" s="242"/>
      <c r="K33" s="242"/>
      <c r="L33" s="242"/>
      <c r="M33" s="242"/>
      <c r="N33" s="242"/>
      <c r="O33" s="17" t="s">
        <v>312</v>
      </c>
      <c r="P33" s="240">
        <v>533287</v>
      </c>
      <c r="Q33" s="1">
        <v>500304</v>
      </c>
      <c r="R33" s="240">
        <v>532696</v>
      </c>
      <c r="S33" s="1">
        <v>532475</v>
      </c>
      <c r="T33" s="1">
        <v>512199</v>
      </c>
      <c r="U33" s="1"/>
      <c r="V33" s="1"/>
      <c r="W33" s="1"/>
      <c r="X33" s="1"/>
      <c r="Y33" s="1"/>
      <c r="Z33" s="1"/>
      <c r="AA33" s="1"/>
      <c r="AB33" s="1"/>
      <c r="AC33" s="1"/>
      <c r="AD33" s="17" t="s">
        <v>312</v>
      </c>
      <c r="AE33" s="240">
        <v>533287</v>
      </c>
      <c r="AF33" s="242" t="s">
        <v>1050</v>
      </c>
      <c r="AG33" s="240">
        <v>533287</v>
      </c>
      <c r="AJ33" s="17" t="s">
        <v>312</v>
      </c>
      <c r="AK33" s="240" t="str">
        <f t="shared" si="0"/>
        <v>Zee Learn</v>
      </c>
      <c r="AL33" s="240" t="str">
        <f t="shared" si="1"/>
        <v>NIIT</v>
      </c>
      <c r="AM33" s="240" t="str">
        <f t="shared" si="2"/>
        <v>Educomp Sol.</v>
      </c>
      <c r="AN33" s="240" t="str">
        <f t="shared" si="3"/>
        <v>Aptech</v>
      </c>
      <c r="AO33" s="240" t="str">
        <f t="shared" si="4"/>
        <v>CORE Education</v>
      </c>
      <c r="AP33" s="240" t="str">
        <f t="shared" si="5"/>
        <v/>
      </c>
      <c r="AQ33" s="240" t="str">
        <f t="shared" si="6"/>
        <v/>
      </c>
      <c r="AR33" s="240" t="str">
        <f t="shared" si="7"/>
        <v/>
      </c>
      <c r="AS33" s="240" t="str">
        <f t="shared" si="8"/>
        <v/>
      </c>
      <c r="AT33" s="240" t="str">
        <f t="shared" si="9"/>
        <v/>
      </c>
      <c r="AU33" s="240" t="str">
        <f t="shared" si="10"/>
        <v/>
      </c>
      <c r="AV33" s="240" t="str">
        <f t="shared" si="11"/>
        <v/>
      </c>
      <c r="AW33" s="240" t="str">
        <f t="shared" si="12"/>
        <v/>
      </c>
      <c r="AX33" s="240" t="str">
        <f t="shared" si="13"/>
        <v/>
      </c>
      <c r="AY33" s="240" t="str">
        <f t="shared" si="14"/>
        <v/>
      </c>
    </row>
    <row r="34" spans="1:51">
      <c r="A34" s="17" t="s">
        <v>253</v>
      </c>
      <c r="B34" s="242" t="s">
        <v>702</v>
      </c>
      <c r="C34" s="242" t="s">
        <v>704</v>
      </c>
      <c r="D34" s="242" t="s">
        <v>703</v>
      </c>
      <c r="F34" s="242"/>
      <c r="G34" s="242"/>
      <c r="H34" s="242"/>
      <c r="I34" s="242"/>
      <c r="J34" s="242"/>
      <c r="K34" s="242"/>
      <c r="L34" s="242"/>
      <c r="M34" s="242"/>
      <c r="N34" s="242"/>
      <c r="O34" s="17" t="s">
        <v>253</v>
      </c>
      <c r="P34" s="240">
        <v>517326</v>
      </c>
      <c r="Q34" s="240">
        <v>500179</v>
      </c>
      <c r="R34" s="240">
        <v>532805</v>
      </c>
      <c r="S34" s="240"/>
      <c r="T34" s="240"/>
      <c r="U34" s="240"/>
      <c r="V34" s="323"/>
      <c r="W34" s="242"/>
      <c r="X34" s="1"/>
      <c r="Y34" s="1"/>
      <c r="Z34" s="1"/>
      <c r="AA34" s="1"/>
      <c r="AB34" s="1"/>
      <c r="AC34" s="1"/>
      <c r="AD34" s="17" t="s">
        <v>253</v>
      </c>
      <c r="AE34" s="240">
        <v>517326</v>
      </c>
      <c r="AF34" s="242" t="s">
        <v>702</v>
      </c>
      <c r="AG34" s="240">
        <v>517326</v>
      </c>
      <c r="AJ34" s="17" t="s">
        <v>253</v>
      </c>
      <c r="AK34" s="240" t="str">
        <f t="shared" ref="AK34:AK65" si="15">IFERROR(VLOOKUP(P34,$AE$2:$AF$691,2,FALSE),"")</f>
        <v>CMC</v>
      </c>
      <c r="AL34" s="240" t="str">
        <f t="shared" ref="AL34:AL65" si="16">IFERROR(VLOOKUP(Q34,$AE$2:$AF$691,2,FALSE),"")</f>
        <v>HCL Infosystems</v>
      </c>
      <c r="AM34" s="240" t="str">
        <f t="shared" ref="AM34:AM65" si="17">IFERROR(VLOOKUP(R34,$AE$2:$AF$691,2,FALSE),"")</f>
        <v>Redington India</v>
      </c>
      <c r="AN34" s="240" t="str">
        <f t="shared" ref="AN34:AN65" si="18">IFERROR(VLOOKUP(S34,$AE$2:$AF$691,2,FALSE),"")</f>
        <v/>
      </c>
      <c r="AO34" s="240" t="str">
        <f t="shared" ref="AO34:AO65" si="19">IFERROR(VLOOKUP(T34,$AE$2:$AF$691,2,FALSE),"")</f>
        <v/>
      </c>
      <c r="AP34" s="240" t="str">
        <f t="shared" ref="AP34:AP65" si="20">IFERROR(VLOOKUP(U34,$AE$2:$AF$691,2,FALSE),"")</f>
        <v/>
      </c>
      <c r="AQ34" s="240" t="str">
        <f t="shared" ref="AQ34:AQ65" si="21">IFERROR(VLOOKUP(V34,$AE$2:$AF$691,2,FALSE),"")</f>
        <v/>
      </c>
      <c r="AR34" s="240" t="str">
        <f t="shared" ref="AR34:AR65" si="22">IFERROR(VLOOKUP(W34,$AE$2:$AF$691,2,FALSE),"")</f>
        <v/>
      </c>
      <c r="AS34" s="240" t="str">
        <f t="shared" ref="AS34:AS65" si="23">IFERROR(VLOOKUP(X34,$AE$2:$AF$691,2,FALSE),"")</f>
        <v/>
      </c>
      <c r="AT34" s="240" t="str">
        <f t="shared" ref="AT34:AT65" si="24">IFERROR(VLOOKUP(Y34,$AE$2:$AF$691,2,FALSE),"")</f>
        <v/>
      </c>
      <c r="AU34" s="240" t="str">
        <f t="shared" ref="AU34:AU65" si="25">IFERROR(VLOOKUP(Z34,$AE$2:$AF$691,2,FALSE),"")</f>
        <v/>
      </c>
      <c r="AV34" s="240" t="str">
        <f t="shared" ref="AV34:AV65" si="26">IFERROR(VLOOKUP(AA34,$AE$2:$AF$691,2,FALSE),"")</f>
        <v/>
      </c>
      <c r="AW34" s="240" t="str">
        <f t="shared" ref="AW34:AW65" si="27">IFERROR(VLOOKUP(AB34,$AE$2:$AF$691,2,FALSE),"")</f>
        <v/>
      </c>
      <c r="AX34" s="240" t="str">
        <f t="shared" ref="AX34:AX65" si="28">IFERROR(VLOOKUP(AC34,$AE$2:$AF$691,2,FALSE),"")</f>
        <v/>
      </c>
      <c r="AY34" s="240" t="str">
        <f t="shared" ref="AY34:AY65" si="29">IFERROR(VLOOKUP(AD34,$AE$2:$AF$691,2,FALSE),"")</f>
        <v/>
      </c>
    </row>
    <row r="35" spans="1:51">
      <c r="A35" s="17" t="s">
        <v>291</v>
      </c>
      <c r="B35" s="242" t="s">
        <v>1052</v>
      </c>
      <c r="C35" s="242" t="s">
        <v>699</v>
      </c>
      <c r="D35" s="242" t="s">
        <v>700</v>
      </c>
      <c r="E35" s="242" t="s">
        <v>701</v>
      </c>
      <c r="F35" s="242"/>
      <c r="G35" s="242"/>
      <c r="H35" s="242"/>
      <c r="I35" s="242"/>
      <c r="J35" s="242"/>
      <c r="K35" s="242"/>
      <c r="L35" s="242"/>
      <c r="M35" s="242"/>
      <c r="N35" s="242"/>
      <c r="O35" s="17" t="s">
        <v>291</v>
      </c>
      <c r="P35" s="240">
        <v>532540</v>
      </c>
      <c r="Q35" s="240">
        <v>500209</v>
      </c>
      <c r="R35" s="240">
        <v>507685</v>
      </c>
      <c r="S35" s="240">
        <v>532281</v>
      </c>
      <c r="T35" s="1"/>
      <c r="U35" s="1"/>
      <c r="V35" s="1"/>
      <c r="W35" s="1"/>
      <c r="X35" s="1"/>
      <c r="Y35" s="1"/>
      <c r="Z35" s="1"/>
      <c r="AA35" s="1"/>
      <c r="AB35" s="1"/>
      <c r="AC35" s="1"/>
      <c r="AD35" s="17" t="s">
        <v>291</v>
      </c>
      <c r="AE35" s="240">
        <v>532540</v>
      </c>
      <c r="AF35" s="242" t="s">
        <v>1052</v>
      </c>
      <c r="AG35" s="240">
        <v>532540</v>
      </c>
      <c r="AJ35" s="17" t="s">
        <v>291</v>
      </c>
      <c r="AK35" s="240" t="str">
        <f t="shared" si="15"/>
        <v>TCS</v>
      </c>
      <c r="AL35" s="240" t="str">
        <f t="shared" si="16"/>
        <v>Infosys</v>
      </c>
      <c r="AM35" s="240" t="str">
        <f t="shared" si="17"/>
        <v>Wipro</v>
      </c>
      <c r="AN35" s="240" t="str">
        <f t="shared" si="18"/>
        <v>HCL Technologies</v>
      </c>
      <c r="AO35" s="240" t="str">
        <f t="shared" si="19"/>
        <v/>
      </c>
      <c r="AP35" s="240" t="str">
        <f t="shared" si="20"/>
        <v/>
      </c>
      <c r="AQ35" s="240" t="str">
        <f t="shared" si="21"/>
        <v/>
      </c>
      <c r="AR35" s="240" t="str">
        <f t="shared" si="22"/>
        <v/>
      </c>
      <c r="AS35" s="240" t="str">
        <f t="shared" si="23"/>
        <v/>
      </c>
      <c r="AT35" s="240" t="str">
        <f t="shared" si="24"/>
        <v/>
      </c>
      <c r="AU35" s="240" t="str">
        <f t="shared" si="25"/>
        <v/>
      </c>
      <c r="AV35" s="240" t="str">
        <f t="shared" si="26"/>
        <v/>
      </c>
      <c r="AW35" s="240" t="str">
        <f t="shared" si="27"/>
        <v/>
      </c>
      <c r="AX35" s="240" t="str">
        <f t="shared" si="28"/>
        <v/>
      </c>
      <c r="AY35" s="240" t="str">
        <f t="shared" si="29"/>
        <v/>
      </c>
    </row>
    <row r="36" spans="1:51">
      <c r="A36" s="17" t="s">
        <v>270</v>
      </c>
      <c r="B36" s="242" t="s">
        <v>683</v>
      </c>
      <c r="C36" s="242" t="s">
        <v>684</v>
      </c>
      <c r="D36" s="242"/>
      <c r="E36" s="242"/>
      <c r="F36" s="242"/>
      <c r="G36" s="242"/>
      <c r="H36" s="242"/>
      <c r="I36" s="242"/>
      <c r="J36" s="242"/>
      <c r="K36" s="242"/>
      <c r="L36" s="242"/>
      <c r="M36" s="242"/>
      <c r="N36" s="242"/>
      <c r="O36" s="17" t="s">
        <v>270</v>
      </c>
      <c r="P36" s="240">
        <v>532755</v>
      </c>
      <c r="Q36" s="240">
        <v>532466</v>
      </c>
      <c r="R36" s="240"/>
      <c r="S36" s="240"/>
      <c r="T36" s="240"/>
      <c r="U36" s="242"/>
      <c r="V36" s="242"/>
      <c r="W36" s="242"/>
      <c r="X36" s="242"/>
      <c r="Y36" s="242"/>
      <c r="Z36" s="242"/>
      <c r="AA36" s="242"/>
      <c r="AB36" s="1"/>
      <c r="AC36" s="1"/>
      <c r="AD36" s="17" t="s">
        <v>270</v>
      </c>
      <c r="AE36" s="240">
        <v>532755</v>
      </c>
      <c r="AF36" s="242" t="s">
        <v>683</v>
      </c>
      <c r="AG36" s="240">
        <v>532755</v>
      </c>
      <c r="AJ36" s="17" t="s">
        <v>270</v>
      </c>
      <c r="AK36" s="240" t="str">
        <f t="shared" si="15"/>
        <v>Tech Mahindra</v>
      </c>
      <c r="AL36" s="240" t="str">
        <f t="shared" si="16"/>
        <v>Oracle Fin.Serv.</v>
      </c>
      <c r="AM36" s="240" t="str">
        <f t="shared" si="17"/>
        <v/>
      </c>
      <c r="AN36" s="240" t="str">
        <f t="shared" si="18"/>
        <v/>
      </c>
      <c r="AO36" s="240" t="str">
        <f t="shared" si="19"/>
        <v/>
      </c>
      <c r="AP36" s="240" t="str">
        <f t="shared" si="20"/>
        <v/>
      </c>
      <c r="AQ36" s="240" t="str">
        <f t="shared" si="21"/>
        <v/>
      </c>
      <c r="AR36" s="240" t="str">
        <f t="shared" si="22"/>
        <v/>
      </c>
      <c r="AS36" s="240" t="str">
        <f t="shared" si="23"/>
        <v/>
      </c>
      <c r="AT36" s="240" t="str">
        <f t="shared" si="24"/>
        <v/>
      </c>
      <c r="AU36" s="240" t="str">
        <f t="shared" si="25"/>
        <v/>
      </c>
      <c r="AV36" s="240" t="str">
        <f t="shared" si="26"/>
        <v/>
      </c>
      <c r="AW36" s="240" t="str">
        <f t="shared" si="27"/>
        <v/>
      </c>
      <c r="AX36" s="240" t="str">
        <f t="shared" si="28"/>
        <v/>
      </c>
      <c r="AY36" s="240" t="str">
        <f t="shared" si="29"/>
        <v/>
      </c>
    </row>
    <row r="37" spans="1:51">
      <c r="A37" s="17" t="s">
        <v>269</v>
      </c>
      <c r="B37" s="242" t="s">
        <v>685</v>
      </c>
      <c r="C37" s="242" t="s">
        <v>1053</v>
      </c>
      <c r="D37" s="242" t="s">
        <v>686</v>
      </c>
      <c r="E37" s="242" t="s">
        <v>691</v>
      </c>
      <c r="F37" s="242" t="s">
        <v>688</v>
      </c>
      <c r="G37" s="242" t="s">
        <v>1054</v>
      </c>
      <c r="H37" s="242" t="s">
        <v>689</v>
      </c>
      <c r="I37" s="242"/>
      <c r="J37" s="242"/>
      <c r="K37" s="242"/>
      <c r="L37" s="242"/>
      <c r="M37" s="242"/>
      <c r="N37" s="242"/>
      <c r="O37" s="17" t="s">
        <v>269</v>
      </c>
      <c r="P37" s="240">
        <v>526299</v>
      </c>
      <c r="Q37" s="240">
        <v>532258</v>
      </c>
      <c r="R37" s="240">
        <v>532819</v>
      </c>
      <c r="S37" s="240">
        <v>533179</v>
      </c>
      <c r="T37" s="240">
        <v>532129</v>
      </c>
      <c r="U37" s="242">
        <v>532175</v>
      </c>
      <c r="V37" s="1">
        <v>511431</v>
      </c>
      <c r="W37" s="1"/>
      <c r="X37" s="1"/>
      <c r="Y37" s="1"/>
      <c r="Z37" s="1"/>
      <c r="AA37" s="1"/>
      <c r="AB37" s="1"/>
      <c r="AC37" s="1"/>
      <c r="AD37" s="17" t="s">
        <v>269</v>
      </c>
      <c r="AE37" s="240">
        <v>526299</v>
      </c>
      <c r="AF37" s="242" t="s">
        <v>685</v>
      </c>
      <c r="AG37" s="240">
        <v>526299</v>
      </c>
      <c r="AJ37" s="17" t="s">
        <v>269</v>
      </c>
      <c r="AK37" s="240" t="str">
        <f t="shared" si="15"/>
        <v>MphasiS</v>
      </c>
      <c r="AL37" s="240" t="str">
        <f t="shared" si="16"/>
        <v>Trans. India.Com</v>
      </c>
      <c r="AM37" s="240" t="str">
        <f t="shared" si="17"/>
        <v>Mindtree</v>
      </c>
      <c r="AN37" s="240" t="str">
        <f t="shared" si="18"/>
        <v>Persistent Sys</v>
      </c>
      <c r="AO37" s="240" t="str">
        <f t="shared" si="19"/>
        <v>Hexaware Tech.</v>
      </c>
      <c r="AP37" s="240" t="str">
        <f t="shared" si="20"/>
        <v>Cyient</v>
      </c>
      <c r="AQ37" s="240" t="str">
        <f t="shared" si="21"/>
        <v>Vakrangee</v>
      </c>
      <c r="AR37" s="240" t="str">
        <f t="shared" si="22"/>
        <v/>
      </c>
      <c r="AS37" s="240" t="str">
        <f t="shared" si="23"/>
        <v/>
      </c>
      <c r="AT37" s="240" t="str">
        <f t="shared" si="24"/>
        <v/>
      </c>
      <c r="AU37" s="240" t="str">
        <f t="shared" si="25"/>
        <v/>
      </c>
      <c r="AV37" s="240" t="str">
        <f t="shared" si="26"/>
        <v/>
      </c>
      <c r="AW37" s="240" t="str">
        <f t="shared" si="27"/>
        <v/>
      </c>
      <c r="AX37" s="240" t="str">
        <f t="shared" si="28"/>
        <v/>
      </c>
      <c r="AY37" s="240" t="str">
        <f t="shared" si="29"/>
        <v/>
      </c>
    </row>
    <row r="38" spans="1:51">
      <c r="A38" s="17" t="s">
        <v>252</v>
      </c>
      <c r="B38" s="242" t="s">
        <v>690</v>
      </c>
      <c r="C38" s="242" t="s">
        <v>1055</v>
      </c>
      <c r="D38" s="242" t="s">
        <v>698</v>
      </c>
      <c r="E38" s="242" t="s">
        <v>1056</v>
      </c>
      <c r="F38" s="242" t="s">
        <v>693</v>
      </c>
      <c r="G38" s="242"/>
      <c r="H38" s="242"/>
      <c r="I38" s="242"/>
      <c r="J38" s="242"/>
      <c r="K38" s="242"/>
      <c r="L38" s="242"/>
      <c r="M38" s="242"/>
      <c r="N38" s="242"/>
      <c r="O38" s="17" t="s">
        <v>252</v>
      </c>
      <c r="P38" s="240">
        <v>532400</v>
      </c>
      <c r="Q38" s="240">
        <v>504067</v>
      </c>
      <c r="R38" s="240">
        <v>532368</v>
      </c>
      <c r="S38" s="240">
        <v>511421</v>
      </c>
      <c r="T38" s="1">
        <v>532541</v>
      </c>
      <c r="U38" s="240"/>
      <c r="V38" s="240"/>
      <c r="W38" s="1"/>
      <c r="X38" s="1"/>
      <c r="Y38" s="1"/>
      <c r="Z38" s="1"/>
      <c r="AA38" s="1"/>
      <c r="AB38" s="1"/>
      <c r="AC38" s="1"/>
      <c r="AD38" s="17" t="s">
        <v>252</v>
      </c>
      <c r="AE38" s="240">
        <v>532400</v>
      </c>
      <c r="AF38" s="242" t="s">
        <v>690</v>
      </c>
      <c r="AG38" s="240">
        <v>532400</v>
      </c>
      <c r="AJ38" s="17" t="s">
        <v>252</v>
      </c>
      <c r="AK38" s="240" t="str">
        <f t="shared" si="15"/>
        <v>KPIT Tech.</v>
      </c>
      <c r="AL38" s="240" t="str">
        <f t="shared" si="16"/>
        <v>Zensar Tech.</v>
      </c>
      <c r="AM38" s="240" t="str">
        <f t="shared" si="17"/>
        <v>Ybrant Digital</v>
      </c>
      <c r="AN38" s="240" t="str">
        <f t="shared" si="18"/>
        <v>Pine Animation</v>
      </c>
      <c r="AO38" s="240" t="str">
        <f t="shared" si="19"/>
        <v>NIIT Tech.</v>
      </c>
      <c r="AP38" s="240" t="str">
        <f t="shared" si="20"/>
        <v/>
      </c>
      <c r="AQ38" s="240" t="str">
        <f t="shared" si="21"/>
        <v/>
      </c>
      <c r="AR38" s="240" t="str">
        <f t="shared" si="22"/>
        <v/>
      </c>
      <c r="AS38" s="240" t="str">
        <f t="shared" si="23"/>
        <v/>
      </c>
      <c r="AT38" s="240" t="str">
        <f t="shared" si="24"/>
        <v/>
      </c>
      <c r="AU38" s="240" t="str">
        <f t="shared" si="25"/>
        <v/>
      </c>
      <c r="AV38" s="240" t="str">
        <f t="shared" si="26"/>
        <v/>
      </c>
      <c r="AW38" s="240" t="str">
        <f t="shared" si="27"/>
        <v/>
      </c>
      <c r="AX38" s="240" t="str">
        <f t="shared" si="28"/>
        <v/>
      </c>
      <c r="AY38" s="240" t="str">
        <f t="shared" si="29"/>
        <v/>
      </c>
    </row>
    <row r="39" spans="1:51">
      <c r="A39" s="17" t="s">
        <v>251</v>
      </c>
      <c r="B39" s="242" t="s">
        <v>695</v>
      </c>
      <c r="C39" s="242" t="s">
        <v>696</v>
      </c>
      <c r="D39" s="242" t="s">
        <v>1057</v>
      </c>
      <c r="E39" s="242" t="s">
        <v>694</v>
      </c>
      <c r="F39" s="1" t="s">
        <v>1060</v>
      </c>
      <c r="G39" s="242" t="s">
        <v>1058</v>
      </c>
      <c r="H39" s="242" t="s">
        <v>697</v>
      </c>
      <c r="I39" s="242" t="s">
        <v>1059</v>
      </c>
      <c r="J39" s="242" t="s">
        <v>687</v>
      </c>
      <c r="K39" s="242" t="s">
        <v>666</v>
      </c>
      <c r="L39" s="242"/>
      <c r="M39" s="242"/>
      <c r="N39" s="242"/>
      <c r="O39" s="17" t="s">
        <v>251</v>
      </c>
      <c r="P39" s="1">
        <v>532254</v>
      </c>
      <c r="Q39" s="240">
        <v>500408</v>
      </c>
      <c r="R39" s="240">
        <v>500366</v>
      </c>
      <c r="S39" s="240">
        <v>512379</v>
      </c>
      <c r="T39" s="240">
        <v>526881</v>
      </c>
      <c r="U39" s="240">
        <v>517447</v>
      </c>
      <c r="V39" s="240">
        <v>532312</v>
      </c>
      <c r="W39" s="1">
        <v>533121</v>
      </c>
      <c r="X39" s="1">
        <v>509051</v>
      </c>
      <c r="Y39" s="1">
        <v>526045</v>
      </c>
      <c r="Z39" s="1"/>
      <c r="AA39" s="1"/>
      <c r="AB39" s="1"/>
      <c r="AC39" s="1"/>
      <c r="AD39" s="17" t="s">
        <v>251</v>
      </c>
      <c r="AE39" s="1">
        <v>532254</v>
      </c>
      <c r="AF39" s="242" t="s">
        <v>695</v>
      </c>
      <c r="AG39" s="1">
        <v>532254</v>
      </c>
      <c r="AJ39" s="17" t="s">
        <v>251</v>
      </c>
      <c r="AK39" s="240" t="str">
        <f t="shared" si="15"/>
        <v>Polaris Finan.</v>
      </c>
      <c r="AL39" s="240" t="str">
        <f t="shared" si="16"/>
        <v>Tata Elxsi</v>
      </c>
      <c r="AM39" s="240" t="str">
        <f t="shared" si="17"/>
        <v>Rolta India</v>
      </c>
      <c r="AN39" s="240" t="str">
        <f t="shared" si="18"/>
        <v>Cressanda Solns.</v>
      </c>
      <c r="AO39" s="240" t="str">
        <f t="shared" si="19"/>
        <v>Financial Tech.</v>
      </c>
      <c r="AP39" s="240" t="str">
        <f t="shared" si="20"/>
        <v>R S Software (I)</v>
      </c>
      <c r="AQ39" s="240" t="str">
        <f t="shared" si="21"/>
        <v>Geometric</v>
      </c>
      <c r="AR39" s="240" t="str">
        <f t="shared" si="22"/>
        <v>SQS India BFSI</v>
      </c>
      <c r="AS39" s="240" t="str">
        <f t="shared" si="23"/>
        <v>Indian Infotech</v>
      </c>
      <c r="AT39" s="240" t="str">
        <f t="shared" si="24"/>
        <v>Luminaire Tech.</v>
      </c>
      <c r="AU39" s="240" t="str">
        <f t="shared" si="25"/>
        <v/>
      </c>
      <c r="AV39" s="240" t="str">
        <f t="shared" si="26"/>
        <v/>
      </c>
      <c r="AW39" s="240" t="str">
        <f t="shared" si="27"/>
        <v/>
      </c>
      <c r="AX39" s="240" t="str">
        <f t="shared" si="28"/>
        <v/>
      </c>
      <c r="AY39" s="240" t="str">
        <f t="shared" si="29"/>
        <v/>
      </c>
    </row>
    <row r="40" spans="1:51">
      <c r="A40" s="17" t="s">
        <v>268</v>
      </c>
      <c r="B40" s="242" t="s">
        <v>692</v>
      </c>
      <c r="C40" s="242" t="s">
        <v>933</v>
      </c>
      <c r="D40" s="242"/>
      <c r="E40" s="242"/>
      <c r="F40" s="1"/>
      <c r="G40" s="242"/>
      <c r="H40" s="242"/>
      <c r="I40" s="242"/>
      <c r="J40" s="242"/>
      <c r="K40" s="242"/>
      <c r="L40" s="242"/>
      <c r="M40" s="242"/>
      <c r="N40" s="242"/>
      <c r="O40" s="17" t="s">
        <v>268</v>
      </c>
      <c r="P40" s="240">
        <v>532927</v>
      </c>
      <c r="Q40" s="240">
        <v>532809</v>
      </c>
      <c r="R40" s="240"/>
      <c r="S40" s="240"/>
      <c r="T40" s="240"/>
      <c r="U40" s="1"/>
      <c r="V40" s="1"/>
      <c r="W40" s="1"/>
      <c r="X40" s="1"/>
      <c r="Y40" s="1"/>
      <c r="Z40" s="1"/>
      <c r="AA40" s="1"/>
      <c r="AB40" s="1"/>
      <c r="AC40" s="1"/>
      <c r="AD40" s="17" t="s">
        <v>268</v>
      </c>
      <c r="AE40" s="240">
        <v>532927</v>
      </c>
      <c r="AF40" s="242" t="s">
        <v>692</v>
      </c>
      <c r="AG40" s="240">
        <v>532927</v>
      </c>
      <c r="AJ40" s="17" t="s">
        <v>268</v>
      </c>
      <c r="AK40" s="240" t="str">
        <f t="shared" si="15"/>
        <v>eClerx Services</v>
      </c>
      <c r="AL40" s="240" t="str">
        <f t="shared" si="16"/>
        <v>Firstsour.Solu.</v>
      </c>
      <c r="AM40" s="240" t="str">
        <f t="shared" si="17"/>
        <v/>
      </c>
      <c r="AN40" s="240" t="str">
        <f t="shared" si="18"/>
        <v/>
      </c>
      <c r="AO40" s="240" t="str">
        <f t="shared" si="19"/>
        <v/>
      </c>
      <c r="AP40" s="240" t="str">
        <f t="shared" si="20"/>
        <v/>
      </c>
      <c r="AQ40" s="240" t="str">
        <f t="shared" si="21"/>
        <v/>
      </c>
      <c r="AR40" s="240" t="str">
        <f t="shared" si="22"/>
        <v/>
      </c>
      <c r="AS40" s="240" t="str">
        <f t="shared" si="23"/>
        <v/>
      </c>
      <c r="AT40" s="240" t="str">
        <f t="shared" si="24"/>
        <v/>
      </c>
      <c r="AU40" s="240" t="str">
        <f t="shared" si="25"/>
        <v/>
      </c>
      <c r="AV40" s="240" t="str">
        <f t="shared" si="26"/>
        <v/>
      </c>
      <c r="AW40" s="240" t="str">
        <f t="shared" si="27"/>
        <v/>
      </c>
      <c r="AX40" s="240" t="str">
        <f t="shared" si="28"/>
        <v/>
      </c>
      <c r="AY40" s="240" t="str">
        <f t="shared" si="29"/>
        <v/>
      </c>
    </row>
    <row r="41" spans="1:51">
      <c r="A41" s="17" t="s">
        <v>290</v>
      </c>
      <c r="B41" s="242" t="s">
        <v>1061</v>
      </c>
      <c r="C41" s="242" t="s">
        <v>673</v>
      </c>
      <c r="D41" s="242" t="s">
        <v>674</v>
      </c>
      <c r="E41" s="242"/>
      <c r="F41" s="242"/>
      <c r="G41" s="242"/>
      <c r="H41" s="242"/>
      <c r="I41" s="242"/>
      <c r="J41" s="242"/>
      <c r="K41" s="242"/>
      <c r="L41" s="242"/>
      <c r="M41" s="242"/>
      <c r="N41" s="242"/>
      <c r="O41" s="17" t="s">
        <v>290</v>
      </c>
      <c r="P41" s="240">
        <v>534309</v>
      </c>
      <c r="Q41" s="240">
        <v>532532</v>
      </c>
      <c r="R41" s="240">
        <v>532947</v>
      </c>
      <c r="S41" s="240"/>
      <c r="T41" s="242"/>
      <c r="U41" s="1"/>
      <c r="V41" s="1"/>
      <c r="W41" s="1"/>
      <c r="X41" s="1"/>
      <c r="Y41" s="1"/>
      <c r="Z41" s="1"/>
      <c r="AA41" s="1"/>
      <c r="AB41" s="1"/>
      <c r="AC41" s="1"/>
      <c r="AD41" s="17" t="s">
        <v>290</v>
      </c>
      <c r="AE41" s="240">
        <v>534309</v>
      </c>
      <c r="AF41" s="242" t="s">
        <v>1061</v>
      </c>
      <c r="AG41" s="240">
        <v>534309</v>
      </c>
      <c r="AJ41" s="17" t="s">
        <v>290</v>
      </c>
      <c r="AK41" s="240" t="str">
        <f t="shared" si="15"/>
        <v>NBCC</v>
      </c>
      <c r="AL41" s="240" t="str">
        <f t="shared" si="16"/>
        <v>JP Associates</v>
      </c>
      <c r="AM41" s="240" t="str">
        <f t="shared" si="17"/>
        <v>IRB Infra.Devl.</v>
      </c>
      <c r="AN41" s="240" t="str">
        <f t="shared" si="18"/>
        <v/>
      </c>
      <c r="AO41" s="240" t="str">
        <f t="shared" si="19"/>
        <v/>
      </c>
      <c r="AP41" s="240" t="str">
        <f t="shared" si="20"/>
        <v/>
      </c>
      <c r="AQ41" s="240" t="str">
        <f t="shared" si="21"/>
        <v/>
      </c>
      <c r="AR41" s="240" t="str">
        <f t="shared" si="22"/>
        <v/>
      </c>
      <c r="AS41" s="240" t="str">
        <f t="shared" si="23"/>
        <v/>
      </c>
      <c r="AT41" s="240" t="str">
        <f t="shared" si="24"/>
        <v/>
      </c>
      <c r="AU41" s="240" t="str">
        <f t="shared" si="25"/>
        <v/>
      </c>
      <c r="AV41" s="240" t="str">
        <f t="shared" si="26"/>
        <v/>
      </c>
      <c r="AW41" s="240" t="str">
        <f t="shared" si="27"/>
        <v/>
      </c>
      <c r="AX41" s="240" t="str">
        <f t="shared" si="28"/>
        <v/>
      </c>
      <c r="AY41" s="240" t="str">
        <f t="shared" si="29"/>
        <v/>
      </c>
    </row>
    <row r="42" spans="1:51">
      <c r="A42" s="17" t="s">
        <v>250</v>
      </c>
      <c r="B42" s="242" t="s">
        <v>676</v>
      </c>
      <c r="C42" s="242" t="s">
        <v>680</v>
      </c>
      <c r="D42" s="242" t="s">
        <v>679</v>
      </c>
      <c r="E42" s="242" t="s">
        <v>1062</v>
      </c>
      <c r="F42" s="242" t="s">
        <v>678</v>
      </c>
      <c r="G42" s="242" t="s">
        <v>682</v>
      </c>
      <c r="H42" s="242" t="s">
        <v>681</v>
      </c>
      <c r="I42" s="242" t="s">
        <v>934</v>
      </c>
      <c r="J42" s="242" t="s">
        <v>677</v>
      </c>
      <c r="K42" s="242" t="s">
        <v>675</v>
      </c>
      <c r="L42" s="242" t="s">
        <v>1063</v>
      </c>
      <c r="M42" s="242" t="s">
        <v>971</v>
      </c>
      <c r="N42" s="242" t="s">
        <v>1064</v>
      </c>
      <c r="O42" s="17" t="s">
        <v>250</v>
      </c>
      <c r="P42" s="240">
        <v>533207</v>
      </c>
      <c r="Q42" s="240">
        <v>500294</v>
      </c>
      <c r="R42" s="240">
        <v>500185</v>
      </c>
      <c r="S42" s="240">
        <v>523838</v>
      </c>
      <c r="T42" s="240">
        <v>532693</v>
      </c>
      <c r="U42" s="240">
        <v>531120</v>
      </c>
      <c r="V42" s="240">
        <v>530773</v>
      </c>
      <c r="W42" s="242">
        <v>509550</v>
      </c>
      <c r="X42" s="1">
        <v>532710</v>
      </c>
      <c r="Y42" s="1">
        <v>532832</v>
      </c>
      <c r="Z42" s="1">
        <v>509496</v>
      </c>
      <c r="AA42" s="1">
        <v>533152</v>
      </c>
      <c r="AB42" s="1">
        <v>532718</v>
      </c>
      <c r="AC42" s="1"/>
      <c r="AD42" s="17" t="s">
        <v>250</v>
      </c>
      <c r="AE42" s="240">
        <v>533207</v>
      </c>
      <c r="AF42" s="242" t="s">
        <v>676</v>
      </c>
      <c r="AG42" s="240">
        <v>533207</v>
      </c>
      <c r="AJ42" s="17" t="s">
        <v>250</v>
      </c>
      <c r="AK42" s="240" t="str">
        <f t="shared" si="15"/>
        <v>Jaypee Infratec.</v>
      </c>
      <c r="AL42" s="240" t="str">
        <f t="shared" si="16"/>
        <v>NCC</v>
      </c>
      <c r="AM42" s="240" t="str">
        <f t="shared" si="17"/>
        <v>Hind.Construct.</v>
      </c>
      <c r="AN42" s="240" t="str">
        <f t="shared" si="18"/>
        <v>Simplex Infra</v>
      </c>
      <c r="AO42" s="240" t="str">
        <f t="shared" si="19"/>
        <v>Punj Lloyd</v>
      </c>
      <c r="AP42" s="240" t="str">
        <f t="shared" si="20"/>
        <v>Patel Engg.</v>
      </c>
      <c r="AQ42" s="240" t="str">
        <f t="shared" si="21"/>
        <v>IVRCL</v>
      </c>
      <c r="AR42" s="240" t="str">
        <f t="shared" si="22"/>
        <v>Gammon India</v>
      </c>
      <c r="AS42" s="240" t="str">
        <f t="shared" si="23"/>
        <v>Sadbhav Engg.</v>
      </c>
      <c r="AT42" s="240" t="str">
        <f t="shared" si="24"/>
        <v>Indbull.RealEst.</v>
      </c>
      <c r="AU42" s="240" t="str">
        <f t="shared" si="25"/>
        <v>ITD Cem</v>
      </c>
      <c r="AV42" s="240" t="str">
        <f t="shared" si="26"/>
        <v>MBL Infrast</v>
      </c>
      <c r="AW42" s="240" t="str">
        <f t="shared" si="27"/>
        <v>Pratibha Inds.</v>
      </c>
      <c r="AX42" s="240" t="str">
        <f t="shared" si="28"/>
        <v/>
      </c>
      <c r="AY42" s="240" t="str">
        <f t="shared" si="29"/>
        <v/>
      </c>
    </row>
    <row r="43" spans="1:51">
      <c r="A43" s="17" t="s">
        <v>238</v>
      </c>
      <c r="B43" s="242" t="s">
        <v>1065</v>
      </c>
      <c r="C43" s="242"/>
      <c r="D43" s="242"/>
      <c r="E43" s="242"/>
      <c r="F43" s="242"/>
      <c r="G43" s="242"/>
      <c r="H43" s="242"/>
      <c r="I43" s="242"/>
      <c r="J43" s="242"/>
      <c r="K43" s="242"/>
      <c r="L43" s="242"/>
      <c r="M43" s="242"/>
      <c r="N43" s="242"/>
      <c r="O43" s="17" t="s">
        <v>238</v>
      </c>
      <c r="P43" s="240">
        <v>500510</v>
      </c>
      <c r="Q43" s="240"/>
      <c r="R43" s="240"/>
      <c r="S43" s="240"/>
      <c r="T43" s="240"/>
      <c r="U43" s="240"/>
      <c r="V43" s="240"/>
      <c r="W43" s="240"/>
      <c r="X43" s="240"/>
      <c r="Y43" s="240"/>
      <c r="Z43" s="242"/>
      <c r="AA43" s="242"/>
      <c r="AB43" s="242"/>
      <c r="AC43" s="1"/>
      <c r="AD43" s="17" t="s">
        <v>238</v>
      </c>
      <c r="AE43" s="240">
        <v>500510</v>
      </c>
      <c r="AF43" s="242" t="s">
        <v>1065</v>
      </c>
      <c r="AG43" s="240">
        <v>500510</v>
      </c>
      <c r="AJ43" s="17" t="s">
        <v>238</v>
      </c>
      <c r="AK43" s="240" t="str">
        <f t="shared" si="15"/>
        <v>Larsen &amp; Toubro</v>
      </c>
      <c r="AL43" s="240" t="str">
        <f t="shared" si="16"/>
        <v/>
      </c>
      <c r="AM43" s="240" t="str">
        <f t="shared" si="17"/>
        <v/>
      </c>
      <c r="AN43" s="240" t="str">
        <f t="shared" si="18"/>
        <v/>
      </c>
      <c r="AO43" s="240" t="str">
        <f t="shared" si="19"/>
        <v/>
      </c>
      <c r="AP43" s="240" t="str">
        <f t="shared" si="20"/>
        <v/>
      </c>
      <c r="AQ43" s="240" t="str">
        <f t="shared" si="21"/>
        <v/>
      </c>
      <c r="AR43" s="240" t="str">
        <f t="shared" si="22"/>
        <v/>
      </c>
      <c r="AS43" s="240" t="str">
        <f t="shared" si="23"/>
        <v/>
      </c>
      <c r="AT43" s="240" t="str">
        <f t="shared" si="24"/>
        <v/>
      </c>
      <c r="AU43" s="240" t="str">
        <f t="shared" si="25"/>
        <v/>
      </c>
      <c r="AV43" s="240" t="str">
        <f t="shared" si="26"/>
        <v/>
      </c>
      <c r="AW43" s="240" t="str">
        <f t="shared" si="27"/>
        <v/>
      </c>
      <c r="AX43" s="240" t="str">
        <f t="shared" si="28"/>
        <v/>
      </c>
      <c r="AY43" s="240" t="str">
        <f t="shared" si="29"/>
        <v/>
      </c>
    </row>
    <row r="44" spans="1:51">
      <c r="A44" s="17" t="s">
        <v>289</v>
      </c>
      <c r="B44" s="242" t="s">
        <v>622</v>
      </c>
      <c r="C44" s="242" t="s">
        <v>623</v>
      </c>
      <c r="D44" s="242" t="s">
        <v>620</v>
      </c>
      <c r="E44" s="242"/>
      <c r="F44" s="242"/>
      <c r="G44" s="242"/>
      <c r="H44" s="242"/>
      <c r="I44" s="242"/>
      <c r="J44" s="242"/>
      <c r="K44" s="242"/>
      <c r="L44" s="242"/>
      <c r="M44" s="242"/>
      <c r="N44" s="242"/>
      <c r="O44" s="17" t="s">
        <v>289</v>
      </c>
      <c r="P44" s="240">
        <v>532754</v>
      </c>
      <c r="Q44" s="240">
        <v>532178</v>
      </c>
      <c r="R44" s="240">
        <v>533177</v>
      </c>
      <c r="S44" s="240"/>
      <c r="T44" s="242"/>
      <c r="U44" s="1"/>
      <c r="V44" s="1"/>
      <c r="W44" s="1"/>
      <c r="X44" s="1"/>
      <c r="Y44" s="1"/>
      <c r="Z44" s="1"/>
      <c r="AA44" s="1"/>
      <c r="AB44" s="1"/>
      <c r="AC44" s="1"/>
      <c r="AD44" s="17" t="s">
        <v>289</v>
      </c>
      <c r="AE44" s="240">
        <v>532754</v>
      </c>
      <c r="AF44" s="242" t="s">
        <v>622</v>
      </c>
      <c r="AG44" s="240">
        <v>532754</v>
      </c>
      <c r="AJ44" s="17" t="s">
        <v>289</v>
      </c>
      <c r="AK44" s="240" t="str">
        <f t="shared" si="15"/>
        <v>GMR Infra.</v>
      </c>
      <c r="AL44" s="240" t="str">
        <f t="shared" si="16"/>
        <v>Engineers India</v>
      </c>
      <c r="AM44" s="240" t="str">
        <f t="shared" si="17"/>
        <v>IL&amp;FS Transport</v>
      </c>
      <c r="AN44" s="240" t="str">
        <f t="shared" si="18"/>
        <v/>
      </c>
      <c r="AO44" s="240" t="str">
        <f t="shared" si="19"/>
        <v/>
      </c>
      <c r="AP44" s="240" t="str">
        <f t="shared" si="20"/>
        <v/>
      </c>
      <c r="AQ44" s="240" t="str">
        <f t="shared" si="21"/>
        <v/>
      </c>
      <c r="AR44" s="240" t="str">
        <f t="shared" si="22"/>
        <v/>
      </c>
      <c r="AS44" s="240" t="str">
        <f t="shared" si="23"/>
        <v/>
      </c>
      <c r="AT44" s="240" t="str">
        <f t="shared" si="24"/>
        <v/>
      </c>
      <c r="AU44" s="240" t="str">
        <f t="shared" si="25"/>
        <v/>
      </c>
      <c r="AV44" s="240" t="str">
        <f t="shared" si="26"/>
        <v/>
      </c>
      <c r="AW44" s="240" t="str">
        <f t="shared" si="27"/>
        <v/>
      </c>
      <c r="AX44" s="240" t="str">
        <f t="shared" si="28"/>
        <v/>
      </c>
      <c r="AY44" s="240" t="str">
        <f t="shared" si="29"/>
        <v/>
      </c>
    </row>
    <row r="45" spans="1:51">
      <c r="A45" s="17" t="s">
        <v>311</v>
      </c>
      <c r="B45" s="242" t="s">
        <v>962</v>
      </c>
      <c r="C45" s="242" t="s">
        <v>621</v>
      </c>
      <c r="D45" s="242" t="s">
        <v>1066</v>
      </c>
      <c r="E45" s="242" t="s">
        <v>625</v>
      </c>
      <c r="F45" s="242" t="s">
        <v>1067</v>
      </c>
      <c r="G45" s="242" t="s">
        <v>619</v>
      </c>
      <c r="H45" s="242" t="s">
        <v>1068</v>
      </c>
      <c r="I45" s="242" t="s">
        <v>1069</v>
      </c>
      <c r="J45" s="242" t="s">
        <v>978</v>
      </c>
      <c r="K45" s="242"/>
      <c r="L45" s="242"/>
      <c r="M45" s="242"/>
      <c r="N45" s="242"/>
      <c r="O45" s="17" t="s">
        <v>311</v>
      </c>
      <c r="P45" s="240">
        <v>533271</v>
      </c>
      <c r="Q45" s="240">
        <v>532708</v>
      </c>
      <c r="R45" s="240">
        <v>532959</v>
      </c>
      <c r="S45" s="1">
        <v>532930</v>
      </c>
      <c r="T45" s="1">
        <v>538287</v>
      </c>
      <c r="U45" s="1">
        <v>523445</v>
      </c>
      <c r="V45" s="1">
        <v>532904</v>
      </c>
      <c r="W45" s="1">
        <v>532629</v>
      </c>
      <c r="X45" s="1">
        <v>532945</v>
      </c>
      <c r="Y45" s="1"/>
      <c r="Z45" s="1"/>
      <c r="AA45" s="1"/>
      <c r="AB45" s="1"/>
      <c r="AC45" s="1"/>
      <c r="AD45" s="17" t="s">
        <v>311</v>
      </c>
      <c r="AE45" s="240">
        <v>533271</v>
      </c>
      <c r="AF45" s="242" t="s">
        <v>962</v>
      </c>
      <c r="AG45" s="240">
        <v>533271</v>
      </c>
      <c r="AJ45" s="17" t="s">
        <v>311</v>
      </c>
      <c r="AK45" s="240" t="str">
        <f t="shared" si="15"/>
        <v>Ashoka Buildcon</v>
      </c>
      <c r="AL45" s="240" t="str">
        <f t="shared" si="16"/>
        <v>GVK Power Infra.</v>
      </c>
      <c r="AM45" s="240" t="str">
        <f t="shared" si="17"/>
        <v>Gammon Infra.</v>
      </c>
      <c r="AN45" s="240" t="str">
        <f t="shared" si="18"/>
        <v>BGR Energy Sys.</v>
      </c>
      <c r="AO45" s="240" t="str">
        <f t="shared" si="19"/>
        <v>Tarang Projects</v>
      </c>
      <c r="AP45" s="240" t="str">
        <f t="shared" si="20"/>
        <v>Rel. Indl. Infra</v>
      </c>
      <c r="AQ45" s="240" t="str">
        <f t="shared" si="21"/>
        <v>Supreme Infra.</v>
      </c>
      <c r="AR45" s="240" t="str">
        <f t="shared" si="22"/>
        <v>McNally Bharat</v>
      </c>
      <c r="AS45" s="240" t="str">
        <f t="shared" si="23"/>
        <v>Shriram EPC</v>
      </c>
      <c r="AT45" s="240" t="str">
        <f t="shared" si="24"/>
        <v/>
      </c>
      <c r="AU45" s="240" t="str">
        <f t="shared" si="25"/>
        <v/>
      </c>
      <c r="AV45" s="240" t="str">
        <f t="shared" si="26"/>
        <v/>
      </c>
      <c r="AW45" s="240" t="str">
        <f t="shared" si="27"/>
        <v/>
      </c>
      <c r="AX45" s="240" t="str">
        <f t="shared" si="28"/>
        <v/>
      </c>
      <c r="AY45" s="240" t="str">
        <f t="shared" si="29"/>
        <v/>
      </c>
    </row>
    <row r="46" spans="1:51">
      <c r="A46" s="17" t="s">
        <v>630</v>
      </c>
      <c r="B46" s="242" t="s">
        <v>661</v>
      </c>
      <c r="C46" s="242" t="s">
        <v>660</v>
      </c>
      <c r="D46" s="242" t="s">
        <v>662</v>
      </c>
      <c r="E46" s="242" t="s">
        <v>663</v>
      </c>
      <c r="F46" s="242" t="s">
        <v>665</v>
      </c>
      <c r="G46" s="242"/>
      <c r="H46" s="242"/>
      <c r="I46" s="242"/>
      <c r="J46" s="242"/>
      <c r="K46" s="242"/>
      <c r="L46" s="242"/>
      <c r="M46" s="242"/>
      <c r="N46" s="242"/>
      <c r="O46" s="17" t="s">
        <v>630</v>
      </c>
      <c r="P46" s="240">
        <v>503100</v>
      </c>
      <c r="Q46" s="1">
        <v>533150</v>
      </c>
      <c r="R46" s="1">
        <v>532880</v>
      </c>
      <c r="S46" s="1">
        <v>532891</v>
      </c>
      <c r="T46" s="1">
        <v>532313</v>
      </c>
      <c r="U46" s="1"/>
      <c r="V46" s="1"/>
      <c r="W46" s="1"/>
      <c r="X46" s="1"/>
      <c r="Y46" s="1"/>
      <c r="Z46" s="1"/>
      <c r="AA46" s="1"/>
      <c r="AB46" s="1"/>
      <c r="AC46" s="1"/>
      <c r="AD46" s="17" t="s">
        <v>630</v>
      </c>
      <c r="AE46" s="240">
        <v>503100</v>
      </c>
      <c r="AF46" s="242" t="s">
        <v>661</v>
      </c>
      <c r="AG46" s="240">
        <v>503100</v>
      </c>
      <c r="AJ46" s="17" t="s">
        <v>630</v>
      </c>
      <c r="AK46" s="240" t="str">
        <f t="shared" si="15"/>
        <v>Phoenix Mills</v>
      </c>
      <c r="AL46" s="240" t="str">
        <f t="shared" si="16"/>
        <v>Godrej Propert.</v>
      </c>
      <c r="AM46" s="240" t="str">
        <f t="shared" si="17"/>
        <v>Omaxe</v>
      </c>
      <c r="AN46" s="240" t="str">
        <f t="shared" si="18"/>
        <v>Puravankar.Proj.</v>
      </c>
      <c r="AO46" s="240" t="str">
        <f t="shared" si="19"/>
        <v>Mahindra Life.</v>
      </c>
      <c r="AP46" s="240" t="str">
        <f t="shared" si="20"/>
        <v/>
      </c>
      <c r="AQ46" s="240" t="str">
        <f t="shared" si="21"/>
        <v/>
      </c>
      <c r="AR46" s="240" t="str">
        <f t="shared" si="22"/>
        <v/>
      </c>
      <c r="AS46" s="240" t="str">
        <f t="shared" si="23"/>
        <v/>
      </c>
      <c r="AT46" s="240" t="str">
        <f t="shared" si="24"/>
        <v/>
      </c>
      <c r="AU46" s="240" t="str">
        <f t="shared" si="25"/>
        <v/>
      </c>
      <c r="AV46" s="240" t="str">
        <f t="shared" si="26"/>
        <v/>
      </c>
      <c r="AW46" s="240" t="str">
        <f t="shared" si="27"/>
        <v/>
      </c>
      <c r="AX46" s="240" t="str">
        <f t="shared" si="28"/>
        <v/>
      </c>
      <c r="AY46" s="240" t="str">
        <f t="shared" si="29"/>
        <v/>
      </c>
    </row>
    <row r="47" spans="1:51">
      <c r="A47" s="17" t="s">
        <v>288</v>
      </c>
      <c r="B47" s="242" t="s">
        <v>667</v>
      </c>
      <c r="C47" s="242" t="s">
        <v>668</v>
      </c>
      <c r="D47" s="242" t="s">
        <v>669</v>
      </c>
      <c r="E47" s="242" t="s">
        <v>671</v>
      </c>
      <c r="F47" s="242" t="s">
        <v>1070</v>
      </c>
      <c r="G47" s="242" t="s">
        <v>672</v>
      </c>
      <c r="H47" s="242" t="s">
        <v>1071</v>
      </c>
      <c r="I47" s="242" t="s">
        <v>670</v>
      </c>
      <c r="J47" s="242" t="s">
        <v>1072</v>
      </c>
      <c r="K47" s="242" t="s">
        <v>1073</v>
      </c>
      <c r="L47" s="242" t="s">
        <v>664</v>
      </c>
      <c r="M47" s="242"/>
      <c r="N47" s="242"/>
      <c r="O47" s="17" t="s">
        <v>288</v>
      </c>
      <c r="P47" s="240">
        <v>532848</v>
      </c>
      <c r="Q47" s="240">
        <v>533160</v>
      </c>
      <c r="R47" s="240">
        <v>515055</v>
      </c>
      <c r="S47" s="240">
        <v>532929</v>
      </c>
      <c r="T47" s="242">
        <v>500307</v>
      </c>
      <c r="U47" s="242">
        <v>532924</v>
      </c>
      <c r="V47" s="1">
        <v>532940</v>
      </c>
      <c r="W47" s="1">
        <v>503031</v>
      </c>
      <c r="X47" s="1">
        <v>532799</v>
      </c>
      <c r="Y47" s="1">
        <v>533169</v>
      </c>
      <c r="Z47" s="1">
        <v>530323</v>
      </c>
      <c r="AA47" s="1"/>
      <c r="AB47" s="1"/>
      <c r="AC47" s="1"/>
      <c r="AD47" s="17" t="s">
        <v>288</v>
      </c>
      <c r="AE47" s="240">
        <v>532848</v>
      </c>
      <c r="AF47" s="242" t="s">
        <v>667</v>
      </c>
      <c r="AG47" s="240">
        <v>532848</v>
      </c>
      <c r="AJ47" s="17" t="s">
        <v>288</v>
      </c>
      <c r="AK47" s="240" t="str">
        <f t="shared" si="15"/>
        <v>Delta Corp</v>
      </c>
      <c r="AL47" s="240" t="str">
        <f t="shared" si="16"/>
        <v>D B Realty</v>
      </c>
      <c r="AM47" s="240" t="str">
        <f t="shared" si="17"/>
        <v>Anant Raj</v>
      </c>
      <c r="AN47" s="240" t="str">
        <f t="shared" si="18"/>
        <v>Brigade Enterpr.</v>
      </c>
      <c r="AO47" s="240" t="str">
        <f t="shared" si="19"/>
        <v>Nirlon</v>
      </c>
      <c r="AP47" s="240" t="str">
        <f t="shared" si="20"/>
        <v>Kolte Patil Dev.</v>
      </c>
      <c r="AQ47" s="240" t="str">
        <f t="shared" si="21"/>
        <v>J Kumar Infra</v>
      </c>
      <c r="AR47" s="240" t="str">
        <f t="shared" si="22"/>
        <v>Peninsula Land</v>
      </c>
      <c r="AS47" s="240" t="str">
        <f t="shared" si="23"/>
        <v>Hubtown</v>
      </c>
      <c r="AT47" s="240" t="str">
        <f t="shared" si="24"/>
        <v>Man Infra</v>
      </c>
      <c r="AU47" s="240" t="str">
        <f t="shared" si="25"/>
        <v>Era Infra Engg.</v>
      </c>
      <c r="AV47" s="240" t="str">
        <f t="shared" si="26"/>
        <v/>
      </c>
      <c r="AW47" s="240" t="str">
        <f t="shared" si="27"/>
        <v/>
      </c>
      <c r="AX47" s="240" t="str">
        <f t="shared" si="28"/>
        <v/>
      </c>
      <c r="AY47" s="240" t="str">
        <f t="shared" si="29"/>
        <v/>
      </c>
    </row>
    <row r="48" spans="1:51">
      <c r="A48" s="17" t="s">
        <v>245</v>
      </c>
      <c r="B48" s="242" t="s">
        <v>655</v>
      </c>
      <c r="C48" s="242" t="s">
        <v>657</v>
      </c>
      <c r="D48" s="242" t="s">
        <v>656</v>
      </c>
      <c r="E48" s="242"/>
      <c r="F48" s="242"/>
      <c r="G48" s="242"/>
      <c r="H48" s="242"/>
      <c r="I48" s="242"/>
      <c r="J48" s="242"/>
      <c r="K48" s="242"/>
      <c r="L48" s="242"/>
      <c r="M48" s="242"/>
      <c r="N48" s="242"/>
      <c r="O48" s="17" t="s">
        <v>245</v>
      </c>
      <c r="P48" s="240">
        <v>532868</v>
      </c>
      <c r="Q48" s="240">
        <v>533274</v>
      </c>
      <c r="R48" s="240">
        <v>533273</v>
      </c>
      <c r="S48" s="240"/>
      <c r="T48" s="240"/>
      <c r="U48" s="240"/>
      <c r="V48" s="240"/>
      <c r="W48" s="1"/>
      <c r="X48" s="242"/>
      <c r="Y48" s="242"/>
      <c r="Z48" s="1"/>
      <c r="AA48" s="1"/>
      <c r="AB48" s="1"/>
      <c r="AC48" s="1"/>
      <c r="AD48" s="17" t="s">
        <v>245</v>
      </c>
      <c r="AE48" s="240">
        <v>532868</v>
      </c>
      <c r="AF48" s="242" t="s">
        <v>655</v>
      </c>
      <c r="AG48" s="240">
        <v>532868</v>
      </c>
      <c r="AJ48" s="17" t="s">
        <v>245</v>
      </c>
      <c r="AK48" s="240" t="str">
        <f t="shared" si="15"/>
        <v>DLF</v>
      </c>
      <c r="AL48" s="240" t="str">
        <f t="shared" si="16"/>
        <v>Prestige Estates</v>
      </c>
      <c r="AM48" s="240" t="str">
        <f t="shared" si="17"/>
        <v>Oberoi Realty</v>
      </c>
      <c r="AN48" s="240" t="str">
        <f t="shared" si="18"/>
        <v/>
      </c>
      <c r="AO48" s="240" t="str">
        <f t="shared" si="19"/>
        <v/>
      </c>
      <c r="AP48" s="240" t="str">
        <f t="shared" si="20"/>
        <v/>
      </c>
      <c r="AQ48" s="240" t="str">
        <f t="shared" si="21"/>
        <v/>
      </c>
      <c r="AR48" s="240" t="str">
        <f t="shared" si="22"/>
        <v/>
      </c>
      <c r="AS48" s="240" t="str">
        <f t="shared" si="23"/>
        <v/>
      </c>
      <c r="AT48" s="240" t="str">
        <f t="shared" si="24"/>
        <v/>
      </c>
      <c r="AU48" s="240" t="str">
        <f t="shared" si="25"/>
        <v/>
      </c>
      <c r="AV48" s="240" t="str">
        <f t="shared" si="26"/>
        <v/>
      </c>
      <c r="AW48" s="240" t="str">
        <f t="shared" si="27"/>
        <v/>
      </c>
      <c r="AX48" s="240" t="str">
        <f t="shared" si="28"/>
        <v/>
      </c>
      <c r="AY48" s="240" t="str">
        <f t="shared" si="29"/>
        <v/>
      </c>
    </row>
    <row r="49" spans="1:51">
      <c r="A49" s="17" t="s">
        <v>310</v>
      </c>
      <c r="B49" s="242" t="s">
        <v>658</v>
      </c>
      <c r="C49" s="242" t="s">
        <v>659</v>
      </c>
      <c r="D49" s="242" t="s">
        <v>652</v>
      </c>
      <c r="E49" s="242" t="s">
        <v>653</v>
      </c>
      <c r="F49" s="242" t="s">
        <v>651</v>
      </c>
      <c r="G49" s="242" t="s">
        <v>1074</v>
      </c>
      <c r="H49" s="242" t="s">
        <v>654</v>
      </c>
      <c r="I49" s="242" t="s">
        <v>1076</v>
      </c>
      <c r="J49" s="242" t="s">
        <v>1075</v>
      </c>
      <c r="K49" s="242" t="s">
        <v>961</v>
      </c>
      <c r="L49" s="242"/>
      <c r="M49" s="242"/>
      <c r="N49" s="242"/>
      <c r="O49" s="17" t="s">
        <v>310</v>
      </c>
      <c r="P49" s="240">
        <v>507878</v>
      </c>
      <c r="Q49" s="240">
        <v>532784</v>
      </c>
      <c r="R49" s="240">
        <v>532873</v>
      </c>
      <c r="S49" s="242">
        <v>532780</v>
      </c>
      <c r="T49" s="242">
        <v>512179</v>
      </c>
      <c r="U49" s="242">
        <v>523716</v>
      </c>
      <c r="V49" s="242">
        <v>503310</v>
      </c>
      <c r="W49" s="242">
        <v>533305</v>
      </c>
      <c r="X49" s="242">
        <v>500013</v>
      </c>
      <c r="Y49" s="1">
        <v>526367</v>
      </c>
      <c r="Z49" s="1"/>
      <c r="AA49" s="1"/>
      <c r="AB49" s="1"/>
      <c r="AC49" s="1"/>
      <c r="AD49" s="17" t="s">
        <v>310</v>
      </c>
      <c r="AE49" s="240">
        <v>507878</v>
      </c>
      <c r="AF49" s="242" t="s">
        <v>658</v>
      </c>
      <c r="AG49" s="240">
        <v>507878</v>
      </c>
      <c r="AJ49" s="17" t="s">
        <v>310</v>
      </c>
      <c r="AK49" s="240" t="str">
        <f t="shared" si="15"/>
        <v>Unitech</v>
      </c>
      <c r="AL49" s="240" t="str">
        <f t="shared" si="16"/>
        <v>Sobha Developer.</v>
      </c>
      <c r="AM49" s="240" t="str">
        <f t="shared" si="17"/>
        <v>H D I L</v>
      </c>
      <c r="AN49" s="240" t="str">
        <f t="shared" si="18"/>
        <v>Parsvnath Devl.</v>
      </c>
      <c r="AO49" s="240" t="str">
        <f t="shared" si="19"/>
        <v>Sunteck Realty</v>
      </c>
      <c r="AP49" s="240" t="str">
        <f t="shared" si="20"/>
        <v>Ashiana Housing</v>
      </c>
      <c r="AQ49" s="240" t="str">
        <f t="shared" si="21"/>
        <v>Swan Energy</v>
      </c>
      <c r="AR49" s="240" t="str">
        <f t="shared" si="22"/>
        <v>SRS Real</v>
      </c>
      <c r="AS49" s="240" t="str">
        <f t="shared" si="23"/>
        <v>Ansal Properties</v>
      </c>
      <c r="AT49" s="240" t="str">
        <f t="shared" si="24"/>
        <v>Ganesh Housing</v>
      </c>
      <c r="AU49" s="240" t="str">
        <f t="shared" si="25"/>
        <v/>
      </c>
      <c r="AV49" s="240" t="str">
        <f t="shared" si="26"/>
        <v/>
      </c>
      <c r="AW49" s="240" t="str">
        <f t="shared" si="27"/>
        <v/>
      </c>
      <c r="AX49" s="240" t="str">
        <f t="shared" si="28"/>
        <v/>
      </c>
      <c r="AY49" s="240" t="str">
        <f t="shared" si="29"/>
        <v/>
      </c>
    </row>
    <row r="50" spans="1:51">
      <c r="A50" s="17" t="s">
        <v>249</v>
      </c>
      <c r="B50" s="242" t="s">
        <v>647</v>
      </c>
      <c r="C50" s="242" t="s">
        <v>1077</v>
      </c>
      <c r="D50" s="242"/>
      <c r="E50" s="242"/>
      <c r="F50" s="242"/>
      <c r="G50" s="242"/>
      <c r="H50" s="242"/>
      <c r="I50" s="242"/>
      <c r="J50" s="242"/>
      <c r="K50" s="242"/>
      <c r="L50" s="242"/>
      <c r="M50" s="242"/>
      <c r="N50" s="242"/>
      <c r="O50" s="17" t="s">
        <v>249</v>
      </c>
      <c r="P50" s="240">
        <v>517506</v>
      </c>
      <c r="Q50" s="240">
        <v>508486</v>
      </c>
      <c r="R50" s="240"/>
      <c r="S50" s="240"/>
      <c r="T50" s="240"/>
      <c r="U50" s="240"/>
      <c r="V50" s="240"/>
      <c r="W50" s="1"/>
      <c r="X50" s="1"/>
      <c r="Y50" s="1"/>
      <c r="Z50" s="1"/>
      <c r="AA50" s="1"/>
      <c r="AB50" s="1"/>
      <c r="AC50" s="1"/>
      <c r="AD50" s="17" t="s">
        <v>249</v>
      </c>
      <c r="AE50" s="240">
        <v>517506</v>
      </c>
      <c r="AF50" s="242" t="s">
        <v>647</v>
      </c>
      <c r="AG50" s="240">
        <v>517506</v>
      </c>
      <c r="AJ50" s="17" t="s">
        <v>249</v>
      </c>
      <c r="AK50" s="240" t="str">
        <f t="shared" si="15"/>
        <v>TTK Prestige</v>
      </c>
      <c r="AL50" s="240" t="str">
        <f t="shared" si="16"/>
        <v>Hawkins Cookers</v>
      </c>
      <c r="AM50" s="240" t="str">
        <f t="shared" si="17"/>
        <v/>
      </c>
      <c r="AN50" s="240" t="str">
        <f t="shared" si="18"/>
        <v/>
      </c>
      <c r="AO50" s="240" t="str">
        <f t="shared" si="19"/>
        <v/>
      </c>
      <c r="AP50" s="240" t="str">
        <f t="shared" si="20"/>
        <v/>
      </c>
      <c r="AQ50" s="240" t="str">
        <f t="shared" si="21"/>
        <v/>
      </c>
      <c r="AR50" s="240" t="str">
        <f t="shared" si="22"/>
        <v/>
      </c>
      <c r="AS50" s="240" t="str">
        <f t="shared" si="23"/>
        <v/>
      </c>
      <c r="AT50" s="240" t="str">
        <f t="shared" si="24"/>
        <v/>
      </c>
      <c r="AU50" s="240" t="str">
        <f t="shared" si="25"/>
        <v/>
      </c>
      <c r="AV50" s="240" t="str">
        <f t="shared" si="26"/>
        <v/>
      </c>
      <c r="AW50" s="240" t="str">
        <f t="shared" si="27"/>
        <v/>
      </c>
      <c r="AX50" s="240" t="str">
        <f t="shared" si="28"/>
        <v/>
      </c>
      <c r="AY50" s="240" t="str">
        <f t="shared" si="29"/>
        <v/>
      </c>
    </row>
    <row r="51" spans="1:51">
      <c r="A51" s="17" t="s">
        <v>341</v>
      </c>
      <c r="B51" s="242" t="s">
        <v>646</v>
      </c>
      <c r="C51" s="242" t="s">
        <v>648</v>
      </c>
      <c r="D51" s="242" t="s">
        <v>650</v>
      </c>
      <c r="E51" s="242" t="s">
        <v>1078</v>
      </c>
      <c r="G51" s="242"/>
      <c r="H51" s="242"/>
      <c r="I51" s="242"/>
      <c r="J51" s="242"/>
      <c r="K51" s="242"/>
      <c r="L51" s="242"/>
      <c r="M51" s="242"/>
      <c r="N51" s="242"/>
      <c r="O51" s="17" t="s">
        <v>341</v>
      </c>
      <c r="P51" s="240">
        <v>500238</v>
      </c>
      <c r="Q51" s="240">
        <v>517385</v>
      </c>
      <c r="R51" s="242">
        <v>500031</v>
      </c>
      <c r="S51" s="1">
        <v>505726</v>
      </c>
      <c r="T51" s="1"/>
      <c r="U51" s="1"/>
      <c r="V51" s="1"/>
      <c r="W51" s="1"/>
      <c r="X51" s="1"/>
      <c r="Y51" s="1"/>
      <c r="Z51" s="1"/>
      <c r="AA51" s="1"/>
      <c r="AB51" s="1"/>
      <c r="AC51" s="1"/>
      <c r="AD51" s="17" t="s">
        <v>341</v>
      </c>
      <c r="AE51" s="240">
        <v>500238</v>
      </c>
      <c r="AF51" s="242" t="s">
        <v>646</v>
      </c>
      <c r="AG51" s="240">
        <v>500238</v>
      </c>
      <c r="AJ51" s="17" t="s">
        <v>341</v>
      </c>
      <c r="AK51" s="240" t="str">
        <f t="shared" si="15"/>
        <v>Whirlpool India</v>
      </c>
      <c r="AL51" s="240" t="str">
        <f t="shared" si="16"/>
        <v>Symphony</v>
      </c>
      <c r="AM51" s="240" t="str">
        <f t="shared" si="17"/>
        <v>Bajaj Electrical</v>
      </c>
      <c r="AN51" s="240" t="str">
        <f t="shared" si="18"/>
        <v>IFB Inds.</v>
      </c>
      <c r="AO51" s="240" t="str">
        <f t="shared" si="19"/>
        <v/>
      </c>
      <c r="AP51" s="240" t="str">
        <f t="shared" si="20"/>
        <v/>
      </c>
      <c r="AQ51" s="240" t="str">
        <f t="shared" si="21"/>
        <v/>
      </c>
      <c r="AR51" s="240" t="str">
        <f t="shared" si="22"/>
        <v/>
      </c>
      <c r="AS51" s="240" t="str">
        <f t="shared" si="23"/>
        <v/>
      </c>
      <c r="AT51" s="240" t="str">
        <f t="shared" si="24"/>
        <v/>
      </c>
      <c r="AU51" s="240" t="str">
        <f t="shared" si="25"/>
        <v/>
      </c>
      <c r="AV51" s="240" t="str">
        <f t="shared" si="26"/>
        <v/>
      </c>
      <c r="AW51" s="240" t="str">
        <f t="shared" si="27"/>
        <v/>
      </c>
      <c r="AX51" s="240" t="str">
        <f t="shared" si="28"/>
        <v/>
      </c>
      <c r="AY51" s="240" t="str">
        <f t="shared" si="29"/>
        <v/>
      </c>
    </row>
    <row r="52" spans="1:51">
      <c r="A52" s="17" t="s">
        <v>244</v>
      </c>
      <c r="B52" s="242" t="s">
        <v>649</v>
      </c>
      <c r="C52" s="242" t="s">
        <v>1079</v>
      </c>
      <c r="D52" s="242" t="s">
        <v>1080</v>
      </c>
      <c r="E52" s="242" t="s">
        <v>1081</v>
      </c>
      <c r="F52" s="242" t="s">
        <v>645</v>
      </c>
      <c r="G52" s="242"/>
      <c r="H52" s="242"/>
      <c r="I52" s="242"/>
      <c r="J52" s="242"/>
      <c r="K52" s="242"/>
      <c r="L52" s="242"/>
      <c r="M52" s="242"/>
      <c r="N52" s="242"/>
      <c r="O52" s="17" t="s">
        <v>244</v>
      </c>
      <c r="P52" s="240">
        <v>500067</v>
      </c>
      <c r="Q52" s="240">
        <v>523398</v>
      </c>
      <c r="R52" s="240">
        <v>517518</v>
      </c>
      <c r="S52" s="240">
        <v>500139</v>
      </c>
      <c r="T52" s="240">
        <v>500575</v>
      </c>
      <c r="U52" s="240"/>
      <c r="V52" s="240"/>
      <c r="W52" s="240"/>
      <c r="X52" s="242"/>
      <c r="Y52" s="1"/>
      <c r="Z52" s="1"/>
      <c r="AA52" s="1"/>
      <c r="AB52" s="1"/>
      <c r="AC52" s="1"/>
      <c r="AD52" s="17" t="s">
        <v>244</v>
      </c>
      <c r="AE52" s="240">
        <v>500067</v>
      </c>
      <c r="AF52" s="242" t="s">
        <v>649</v>
      </c>
      <c r="AG52" s="240">
        <v>500067</v>
      </c>
      <c r="AJ52" s="17" t="s">
        <v>244</v>
      </c>
      <c r="AK52" s="240" t="str">
        <f t="shared" si="15"/>
        <v>Blue Star</v>
      </c>
      <c r="AL52" s="240" t="str">
        <f t="shared" si="16"/>
        <v>Hitachi Home</v>
      </c>
      <c r="AM52" s="240" t="str">
        <f t="shared" si="17"/>
        <v>Lloyd Electric</v>
      </c>
      <c r="AN52" s="240" t="str">
        <f t="shared" si="18"/>
        <v>Fedders Lloyd</v>
      </c>
      <c r="AO52" s="240" t="str">
        <f t="shared" si="19"/>
        <v>Voltas</v>
      </c>
      <c r="AP52" s="240" t="str">
        <f t="shared" si="20"/>
        <v/>
      </c>
      <c r="AQ52" s="240" t="str">
        <f t="shared" si="21"/>
        <v/>
      </c>
      <c r="AR52" s="240" t="str">
        <f t="shared" si="22"/>
        <v/>
      </c>
      <c r="AS52" s="240" t="str">
        <f t="shared" si="23"/>
        <v/>
      </c>
      <c r="AT52" s="240" t="str">
        <f t="shared" si="24"/>
        <v/>
      </c>
      <c r="AU52" s="240" t="str">
        <f t="shared" si="25"/>
        <v/>
      </c>
      <c r="AV52" s="240" t="str">
        <f t="shared" si="26"/>
        <v/>
      </c>
      <c r="AW52" s="240" t="str">
        <f t="shared" si="27"/>
        <v/>
      </c>
      <c r="AX52" s="240" t="str">
        <f t="shared" si="28"/>
        <v/>
      </c>
      <c r="AY52" s="240" t="str">
        <f t="shared" si="29"/>
        <v/>
      </c>
    </row>
    <row r="53" spans="1:51">
      <c r="A53" s="17" t="s">
        <v>340</v>
      </c>
      <c r="B53" s="242" t="s">
        <v>632</v>
      </c>
      <c r="C53" s="242" t="s">
        <v>633</v>
      </c>
      <c r="D53" s="242" t="s">
        <v>637</v>
      </c>
      <c r="E53" s="242"/>
      <c r="F53" s="242"/>
      <c r="G53" s="242"/>
      <c r="H53" s="242"/>
      <c r="I53" s="242"/>
      <c r="K53" s="242"/>
      <c r="L53" s="242"/>
      <c r="N53" s="242"/>
      <c r="O53" s="17" t="s">
        <v>340</v>
      </c>
      <c r="P53" s="240">
        <v>500103</v>
      </c>
      <c r="Q53" s="240">
        <v>500550</v>
      </c>
      <c r="R53" s="242">
        <v>500093</v>
      </c>
      <c r="S53" s="1"/>
      <c r="T53" s="1"/>
      <c r="U53" s="1"/>
      <c r="V53" s="1"/>
      <c r="W53" s="1"/>
      <c r="X53" s="1"/>
      <c r="Y53" s="1"/>
      <c r="Z53" s="1"/>
      <c r="AA53" s="1"/>
      <c r="AB53" s="1"/>
      <c r="AC53" s="1"/>
      <c r="AD53" s="17" t="s">
        <v>340</v>
      </c>
      <c r="AE53" s="240">
        <v>500103</v>
      </c>
      <c r="AF53" s="242" t="s">
        <v>632</v>
      </c>
      <c r="AG53" s="240">
        <v>500103</v>
      </c>
      <c r="AJ53" s="17" t="s">
        <v>340</v>
      </c>
      <c r="AK53" s="240" t="str">
        <f t="shared" si="15"/>
        <v>B H E L</v>
      </c>
      <c r="AL53" s="240" t="str">
        <f t="shared" si="16"/>
        <v>Siemens</v>
      </c>
      <c r="AM53" s="240" t="str">
        <f t="shared" si="17"/>
        <v>Crompton Greaves</v>
      </c>
      <c r="AN53" s="240" t="str">
        <f t="shared" si="18"/>
        <v/>
      </c>
      <c r="AO53" s="240" t="str">
        <f t="shared" si="19"/>
        <v/>
      </c>
      <c r="AP53" s="240" t="str">
        <f t="shared" si="20"/>
        <v/>
      </c>
      <c r="AQ53" s="240" t="str">
        <f t="shared" si="21"/>
        <v/>
      </c>
      <c r="AR53" s="240" t="str">
        <f t="shared" si="22"/>
        <v/>
      </c>
      <c r="AS53" s="240" t="str">
        <f t="shared" si="23"/>
        <v/>
      </c>
      <c r="AT53" s="240" t="str">
        <f t="shared" si="24"/>
        <v/>
      </c>
      <c r="AU53" s="240" t="str">
        <f t="shared" si="25"/>
        <v/>
      </c>
      <c r="AV53" s="240" t="str">
        <f t="shared" si="26"/>
        <v/>
      </c>
      <c r="AW53" s="240" t="str">
        <f t="shared" si="27"/>
        <v/>
      </c>
      <c r="AX53" s="240" t="str">
        <f t="shared" si="28"/>
        <v/>
      </c>
      <c r="AY53" s="240" t="str">
        <f t="shared" si="29"/>
        <v/>
      </c>
    </row>
    <row r="54" spans="1:51">
      <c r="A54" s="17" t="s">
        <v>598</v>
      </c>
      <c r="B54" s="242" t="s">
        <v>639</v>
      </c>
      <c r="C54" s="242" t="s">
        <v>642</v>
      </c>
      <c r="D54" s="242" t="s">
        <v>640</v>
      </c>
      <c r="E54" s="242" t="s">
        <v>641</v>
      </c>
      <c r="F54" s="242" t="s">
        <v>644</v>
      </c>
      <c r="G54" s="242" t="s">
        <v>958</v>
      </c>
      <c r="H54" s="242"/>
      <c r="I54" s="242"/>
      <c r="K54" s="242"/>
      <c r="L54" s="242"/>
      <c r="N54" s="242"/>
      <c r="O54" s="17" t="s">
        <v>598</v>
      </c>
      <c r="P54" s="240">
        <v>532309</v>
      </c>
      <c r="Q54" s="1">
        <v>534139</v>
      </c>
      <c r="R54" s="1">
        <v>533655</v>
      </c>
      <c r="S54" s="1">
        <v>532953</v>
      </c>
      <c r="T54" s="1">
        <v>533281</v>
      </c>
      <c r="U54" s="1">
        <v>532259</v>
      </c>
      <c r="V54" s="1"/>
      <c r="W54" s="1"/>
      <c r="X54" s="1"/>
      <c r="Y54" s="1"/>
      <c r="Z54" s="1"/>
      <c r="AA54" s="1"/>
      <c r="AB54" s="1"/>
      <c r="AC54" s="1"/>
      <c r="AD54" s="17" t="s">
        <v>598</v>
      </c>
      <c r="AE54" s="240">
        <v>532309</v>
      </c>
      <c r="AF54" s="242" t="s">
        <v>639</v>
      </c>
      <c r="AG54" s="240">
        <v>532309</v>
      </c>
      <c r="AJ54" s="17" t="s">
        <v>598</v>
      </c>
      <c r="AK54" s="240" t="str">
        <f t="shared" si="15"/>
        <v>ALSTOM India</v>
      </c>
      <c r="AL54" s="240" t="str">
        <f t="shared" si="16"/>
        <v>Schneider Elect.</v>
      </c>
      <c r="AM54" s="240" t="str">
        <f t="shared" si="17"/>
        <v>Triveni Turbine</v>
      </c>
      <c r="AN54" s="240" t="str">
        <f t="shared" si="18"/>
        <v>V-Guard Inds.</v>
      </c>
      <c r="AO54" s="240" t="str">
        <f t="shared" si="19"/>
        <v>Techno Elec.</v>
      </c>
      <c r="AP54" s="240" t="str">
        <f t="shared" si="20"/>
        <v>Apar Inds.</v>
      </c>
      <c r="AQ54" s="240" t="str">
        <f t="shared" si="21"/>
        <v/>
      </c>
      <c r="AR54" s="240" t="str">
        <f t="shared" si="22"/>
        <v/>
      </c>
      <c r="AS54" s="240" t="str">
        <f t="shared" si="23"/>
        <v/>
      </c>
      <c r="AT54" s="240" t="str">
        <f t="shared" si="24"/>
        <v/>
      </c>
      <c r="AU54" s="240" t="str">
        <f t="shared" si="25"/>
        <v/>
      </c>
      <c r="AV54" s="240" t="str">
        <f t="shared" si="26"/>
        <v/>
      </c>
      <c r="AW54" s="240" t="str">
        <f t="shared" si="27"/>
        <v/>
      </c>
      <c r="AX54" s="240" t="str">
        <f t="shared" si="28"/>
        <v/>
      </c>
      <c r="AY54" s="240" t="str">
        <f t="shared" si="29"/>
        <v/>
      </c>
    </row>
    <row r="55" spans="1:51">
      <c r="A55" s="17" t="s">
        <v>243</v>
      </c>
      <c r="B55" s="242" t="s">
        <v>634</v>
      </c>
      <c r="C55" s="242" t="s">
        <v>635</v>
      </c>
      <c r="D55" s="242" t="s">
        <v>638</v>
      </c>
      <c r="E55" s="242"/>
      <c r="F55" s="242"/>
      <c r="G55" s="242"/>
      <c r="H55" s="242"/>
      <c r="I55" s="242"/>
      <c r="J55" s="242"/>
      <c r="K55" s="242"/>
      <c r="L55" s="242"/>
      <c r="M55" s="242"/>
      <c r="N55" s="242"/>
      <c r="O55" s="17" t="s">
        <v>243</v>
      </c>
      <c r="P55" s="240">
        <v>500002</v>
      </c>
      <c r="Q55" s="240">
        <v>517354</v>
      </c>
      <c r="R55" s="240">
        <v>522275</v>
      </c>
      <c r="S55" s="240"/>
      <c r="T55" s="240"/>
      <c r="U55" s="240"/>
      <c r="V55" s="240"/>
      <c r="W55" s="240"/>
      <c r="X55" s="242"/>
      <c r="Y55" s="242"/>
      <c r="Z55" s="1"/>
      <c r="AA55" s="1"/>
      <c r="AB55" s="1"/>
      <c r="AC55" s="1"/>
      <c r="AD55" s="17" t="s">
        <v>243</v>
      </c>
      <c r="AE55" s="240">
        <v>500002</v>
      </c>
      <c r="AF55" s="242" t="s">
        <v>634</v>
      </c>
      <c r="AG55" s="240">
        <v>500002</v>
      </c>
      <c r="AJ55" s="17" t="s">
        <v>243</v>
      </c>
      <c r="AK55" s="240" t="str">
        <f t="shared" si="15"/>
        <v>A B B</v>
      </c>
      <c r="AL55" s="240" t="str">
        <f t="shared" si="16"/>
        <v>Havells India</v>
      </c>
      <c r="AM55" s="240" t="str">
        <f t="shared" si="17"/>
        <v>Alstom T&amp;D India</v>
      </c>
      <c r="AN55" s="240" t="str">
        <f t="shared" si="18"/>
        <v/>
      </c>
      <c r="AO55" s="240" t="str">
        <f t="shared" si="19"/>
        <v/>
      </c>
      <c r="AP55" s="240" t="str">
        <f t="shared" si="20"/>
        <v/>
      </c>
      <c r="AQ55" s="240" t="str">
        <f t="shared" si="21"/>
        <v/>
      </c>
      <c r="AR55" s="240" t="str">
        <f t="shared" si="22"/>
        <v/>
      </c>
      <c r="AS55" s="240" t="str">
        <f t="shared" si="23"/>
        <v/>
      </c>
      <c r="AT55" s="240" t="str">
        <f t="shared" si="24"/>
        <v/>
      </c>
      <c r="AU55" s="240" t="str">
        <f t="shared" si="25"/>
        <v/>
      </c>
      <c r="AV55" s="240" t="str">
        <f t="shared" si="26"/>
        <v/>
      </c>
      <c r="AW55" s="240" t="str">
        <f t="shared" si="27"/>
        <v/>
      </c>
      <c r="AX55" s="240" t="str">
        <f t="shared" si="28"/>
        <v/>
      </c>
      <c r="AY55" s="240" t="str">
        <f t="shared" si="29"/>
        <v/>
      </c>
    </row>
    <row r="56" spans="1:51">
      <c r="A56" s="17" t="s">
        <v>248</v>
      </c>
      <c r="B56" s="242" t="s">
        <v>636</v>
      </c>
      <c r="C56" s="242" t="s">
        <v>643</v>
      </c>
      <c r="D56" s="242"/>
      <c r="E56" s="242"/>
      <c r="F56" s="242"/>
      <c r="G56" s="242"/>
      <c r="H56" s="242"/>
      <c r="I56" s="242"/>
      <c r="J56" s="242"/>
      <c r="K56" s="242"/>
      <c r="L56" s="242"/>
      <c r="M56" s="242"/>
      <c r="N56" s="242"/>
      <c r="O56" s="17" t="s">
        <v>248</v>
      </c>
      <c r="P56" s="240">
        <v>500411</v>
      </c>
      <c r="Q56" s="240">
        <v>533269</v>
      </c>
      <c r="R56" s="240"/>
      <c r="S56" s="1"/>
      <c r="T56" s="240"/>
      <c r="U56" s="240"/>
      <c r="V56" s="240"/>
      <c r="W56" s="242"/>
      <c r="X56" s="242"/>
      <c r="Y56" s="1"/>
      <c r="Z56" s="1"/>
      <c r="AA56" s="1"/>
      <c r="AB56" s="1"/>
      <c r="AC56" s="1"/>
      <c r="AD56" s="17" t="s">
        <v>248</v>
      </c>
      <c r="AE56" s="240">
        <v>500411</v>
      </c>
      <c r="AF56" s="242" t="s">
        <v>636</v>
      </c>
      <c r="AG56" s="240">
        <v>500411</v>
      </c>
      <c r="AJ56" s="17" t="s">
        <v>248</v>
      </c>
      <c r="AK56" s="240" t="str">
        <f t="shared" si="15"/>
        <v>Thermax</v>
      </c>
      <c r="AL56" s="240" t="str">
        <f t="shared" si="16"/>
        <v>Va Tech Wabag</v>
      </c>
      <c r="AM56" s="240" t="str">
        <f t="shared" si="17"/>
        <v/>
      </c>
      <c r="AN56" s="240" t="str">
        <f t="shared" si="18"/>
        <v/>
      </c>
      <c r="AO56" s="240" t="str">
        <f t="shared" si="19"/>
        <v/>
      </c>
      <c r="AP56" s="240" t="str">
        <f t="shared" si="20"/>
        <v/>
      </c>
      <c r="AQ56" s="240" t="str">
        <f t="shared" si="21"/>
        <v/>
      </c>
      <c r="AR56" s="240" t="str">
        <f t="shared" si="22"/>
        <v/>
      </c>
      <c r="AS56" s="240" t="str">
        <f t="shared" si="23"/>
        <v/>
      </c>
      <c r="AT56" s="240" t="str">
        <f t="shared" si="24"/>
        <v/>
      </c>
      <c r="AU56" s="240" t="str">
        <f t="shared" si="25"/>
        <v/>
      </c>
      <c r="AV56" s="240" t="str">
        <f t="shared" si="26"/>
        <v/>
      </c>
      <c r="AW56" s="240" t="str">
        <f t="shared" si="27"/>
        <v/>
      </c>
      <c r="AX56" s="240" t="str">
        <f t="shared" si="28"/>
        <v/>
      </c>
      <c r="AY56" s="240" t="str">
        <f t="shared" si="29"/>
        <v/>
      </c>
    </row>
    <row r="57" spans="1:51">
      <c r="A57" s="17" t="s">
        <v>267</v>
      </c>
      <c r="B57" s="242" t="s">
        <v>629</v>
      </c>
      <c r="C57" s="242" t="s">
        <v>1082</v>
      </c>
      <c r="D57" s="242" t="s">
        <v>627</v>
      </c>
      <c r="E57" s="242" t="s">
        <v>628</v>
      </c>
      <c r="F57" s="242" t="s">
        <v>626</v>
      </c>
      <c r="G57" s="242" t="s">
        <v>1083</v>
      </c>
      <c r="H57" s="242"/>
      <c r="I57" s="242"/>
      <c r="J57" s="242"/>
      <c r="K57" s="242"/>
      <c r="L57" s="242"/>
      <c r="M57" s="242"/>
      <c r="N57" s="242"/>
      <c r="O57" s="17" t="s">
        <v>267</v>
      </c>
      <c r="P57" s="240">
        <v>500048</v>
      </c>
      <c r="Q57" s="240">
        <v>533033</v>
      </c>
      <c r="R57" s="240">
        <v>533326</v>
      </c>
      <c r="S57" s="240">
        <v>522205</v>
      </c>
      <c r="T57" s="240">
        <v>532966</v>
      </c>
      <c r="U57" s="242">
        <v>500068</v>
      </c>
      <c r="V57" s="1"/>
      <c r="W57" s="1"/>
      <c r="X57" s="1"/>
      <c r="Y57" s="1"/>
      <c r="Z57" s="1"/>
      <c r="AA57" s="1"/>
      <c r="AB57" s="1"/>
      <c r="AC57" s="1"/>
      <c r="AD57" s="17" t="s">
        <v>267</v>
      </c>
      <c r="AE57" s="240">
        <v>500048</v>
      </c>
      <c r="AF57" s="242" t="s">
        <v>629</v>
      </c>
      <c r="AG57" s="240">
        <v>500048</v>
      </c>
      <c r="AJ57" s="17" t="s">
        <v>267</v>
      </c>
      <c r="AK57" s="240" t="str">
        <f t="shared" si="15"/>
        <v>BEML Ltd</v>
      </c>
      <c r="AL57" s="240" t="str">
        <f t="shared" si="16"/>
        <v>ISGEC Heavy</v>
      </c>
      <c r="AM57" s="240" t="str">
        <f t="shared" si="17"/>
        <v>Texmaco Rail</v>
      </c>
      <c r="AN57" s="240" t="str">
        <f t="shared" si="18"/>
        <v>Praj Inds.</v>
      </c>
      <c r="AO57" s="240" t="str">
        <f t="shared" si="19"/>
        <v>Titagarh Wagons</v>
      </c>
      <c r="AP57" s="240" t="str">
        <f t="shared" si="20"/>
        <v>Disa India</v>
      </c>
      <c r="AQ57" s="240" t="str">
        <f t="shared" si="21"/>
        <v/>
      </c>
      <c r="AR57" s="240" t="str">
        <f t="shared" si="22"/>
        <v/>
      </c>
      <c r="AS57" s="240" t="str">
        <f t="shared" si="23"/>
        <v/>
      </c>
      <c r="AT57" s="240" t="str">
        <f t="shared" si="24"/>
        <v/>
      </c>
      <c r="AU57" s="240" t="str">
        <f t="shared" si="25"/>
        <v/>
      </c>
      <c r="AV57" s="240" t="str">
        <f t="shared" si="26"/>
        <v/>
      </c>
      <c r="AW57" s="240" t="str">
        <f t="shared" si="27"/>
        <v/>
      </c>
      <c r="AX57" s="240" t="str">
        <f t="shared" si="28"/>
        <v/>
      </c>
      <c r="AY57" s="240" t="str">
        <f t="shared" si="29"/>
        <v/>
      </c>
    </row>
    <row r="58" spans="1:51">
      <c r="A58" s="17" t="s">
        <v>247</v>
      </c>
      <c r="B58" s="242" t="s">
        <v>381</v>
      </c>
      <c r="C58" s="242"/>
      <c r="D58" s="242"/>
      <c r="E58" s="242"/>
      <c r="F58" s="242"/>
      <c r="G58" s="242"/>
      <c r="H58" s="242"/>
      <c r="I58" s="242"/>
      <c r="J58" s="242"/>
      <c r="K58" s="242"/>
      <c r="L58" s="242"/>
      <c r="M58" s="242"/>
      <c r="N58" s="242"/>
      <c r="O58" s="17" t="s">
        <v>247</v>
      </c>
      <c r="P58" s="240">
        <v>534816</v>
      </c>
      <c r="Q58" s="240"/>
      <c r="R58" s="240"/>
      <c r="S58" s="240"/>
      <c r="T58" s="240"/>
      <c r="U58" s="240"/>
      <c r="V58" s="240"/>
      <c r="W58" s="1"/>
      <c r="X58" s="1"/>
      <c r="Y58" s="1"/>
      <c r="Z58" s="1"/>
      <c r="AA58" s="1"/>
      <c r="AB58" s="1"/>
      <c r="AC58" s="1"/>
      <c r="AD58" s="17" t="s">
        <v>247</v>
      </c>
      <c r="AE58" s="240">
        <v>534816</v>
      </c>
      <c r="AF58" s="242" t="s">
        <v>381</v>
      </c>
      <c r="AG58" s="240">
        <v>534816</v>
      </c>
      <c r="AJ58" s="17" t="s">
        <v>247</v>
      </c>
      <c r="AK58" s="240" t="str">
        <f t="shared" si="15"/>
        <v>Bharti Infra.</v>
      </c>
      <c r="AL58" s="240" t="str">
        <f t="shared" si="16"/>
        <v/>
      </c>
      <c r="AM58" s="240" t="str">
        <f t="shared" si="17"/>
        <v/>
      </c>
      <c r="AN58" s="240" t="str">
        <f t="shared" si="18"/>
        <v/>
      </c>
      <c r="AO58" s="240" t="str">
        <f t="shared" si="19"/>
        <v/>
      </c>
      <c r="AP58" s="240" t="str">
        <f t="shared" si="20"/>
        <v/>
      </c>
      <c r="AQ58" s="240" t="str">
        <f t="shared" si="21"/>
        <v/>
      </c>
      <c r="AR58" s="240" t="str">
        <f t="shared" si="22"/>
        <v/>
      </c>
      <c r="AS58" s="240" t="str">
        <f t="shared" si="23"/>
        <v/>
      </c>
      <c r="AT58" s="240" t="str">
        <f t="shared" si="24"/>
        <v/>
      </c>
      <c r="AU58" s="240" t="str">
        <f t="shared" si="25"/>
        <v/>
      </c>
      <c r="AV58" s="240" t="str">
        <f t="shared" si="26"/>
        <v/>
      </c>
      <c r="AW58" s="240" t="str">
        <f t="shared" si="27"/>
        <v/>
      </c>
      <c r="AX58" s="240" t="str">
        <f t="shared" si="28"/>
        <v/>
      </c>
      <c r="AY58" s="240" t="str">
        <f t="shared" si="29"/>
        <v/>
      </c>
    </row>
    <row r="59" spans="1:51">
      <c r="A59" s="17" t="s">
        <v>287</v>
      </c>
      <c r="B59" s="242" t="s">
        <v>372</v>
      </c>
      <c r="C59" s="242" t="s">
        <v>371</v>
      </c>
      <c r="D59" s="242" t="s">
        <v>624</v>
      </c>
      <c r="E59" s="242" t="s">
        <v>987</v>
      </c>
      <c r="F59" s="242"/>
      <c r="G59" s="242"/>
      <c r="H59" s="242"/>
      <c r="I59" s="242"/>
      <c r="J59" s="242"/>
      <c r="K59" s="242"/>
      <c r="L59" s="242"/>
      <c r="M59" s="242"/>
      <c r="N59" s="242"/>
      <c r="O59" s="17" t="s">
        <v>287</v>
      </c>
      <c r="P59" s="240">
        <v>532714</v>
      </c>
      <c r="Q59" s="240">
        <v>522287</v>
      </c>
      <c r="R59" s="240">
        <v>533276</v>
      </c>
      <c r="S59" s="240">
        <v>513250</v>
      </c>
      <c r="T59" s="1"/>
      <c r="U59" s="1"/>
      <c r="V59" s="1"/>
      <c r="W59" s="1"/>
      <c r="X59" s="1"/>
      <c r="Y59" s="1"/>
      <c r="Z59" s="1"/>
      <c r="AA59" s="1"/>
      <c r="AB59" s="1"/>
      <c r="AC59" s="1"/>
      <c r="AD59" s="17" t="s">
        <v>287</v>
      </c>
      <c r="AE59" s="240">
        <v>532714</v>
      </c>
      <c r="AF59" s="242" t="s">
        <v>372</v>
      </c>
      <c r="AG59" s="240">
        <v>532714</v>
      </c>
      <c r="AJ59" s="17" t="s">
        <v>287</v>
      </c>
      <c r="AK59" s="240" t="str">
        <f t="shared" si="15"/>
        <v>K E C Intl.</v>
      </c>
      <c r="AL59" s="240" t="str">
        <f t="shared" si="16"/>
        <v>Kalpataru Power</v>
      </c>
      <c r="AM59" s="240" t="str">
        <f t="shared" si="17"/>
        <v>BS</v>
      </c>
      <c r="AN59" s="240" t="str">
        <f t="shared" si="18"/>
        <v>Jyoti Structures</v>
      </c>
      <c r="AO59" s="240" t="str">
        <f t="shared" si="19"/>
        <v/>
      </c>
      <c r="AP59" s="240" t="str">
        <f t="shared" si="20"/>
        <v/>
      </c>
      <c r="AQ59" s="240" t="str">
        <f t="shared" si="21"/>
        <v/>
      </c>
      <c r="AR59" s="240" t="str">
        <f t="shared" si="22"/>
        <v/>
      </c>
      <c r="AS59" s="240" t="str">
        <f t="shared" si="23"/>
        <v/>
      </c>
      <c r="AT59" s="240" t="str">
        <f t="shared" si="24"/>
        <v/>
      </c>
      <c r="AU59" s="240" t="str">
        <f t="shared" si="25"/>
        <v/>
      </c>
      <c r="AV59" s="240" t="str">
        <f t="shared" si="26"/>
        <v/>
      </c>
      <c r="AW59" s="240" t="str">
        <f t="shared" si="27"/>
        <v/>
      </c>
      <c r="AX59" s="240" t="str">
        <f t="shared" si="28"/>
        <v/>
      </c>
      <c r="AY59" s="240" t="str">
        <f t="shared" si="29"/>
        <v/>
      </c>
    </row>
    <row r="60" spans="1:51">
      <c r="A60" s="17" t="s">
        <v>266</v>
      </c>
      <c r="B60" s="242" t="s">
        <v>631</v>
      </c>
      <c r="C60" s="242" t="s">
        <v>1084</v>
      </c>
      <c r="D60" s="242" t="s">
        <v>1085</v>
      </c>
      <c r="E60" s="242" t="s">
        <v>957</v>
      </c>
      <c r="F60" s="242"/>
      <c r="G60" s="242"/>
      <c r="H60" s="242"/>
      <c r="I60" s="242"/>
      <c r="J60" s="242"/>
      <c r="K60" s="242"/>
      <c r="L60" s="242"/>
      <c r="M60" s="242"/>
      <c r="N60" s="242"/>
      <c r="O60" s="17" t="s">
        <v>266</v>
      </c>
      <c r="P60" s="240">
        <v>509488</v>
      </c>
      <c r="Q60" s="240">
        <v>509631</v>
      </c>
      <c r="R60" s="240">
        <v>500133</v>
      </c>
      <c r="S60" s="240">
        <v>517041</v>
      </c>
      <c r="T60" s="240"/>
      <c r="U60" s="1"/>
      <c r="V60" s="1"/>
      <c r="W60" s="1"/>
      <c r="X60" s="1"/>
      <c r="Y60" s="1"/>
      <c r="Z60" s="1"/>
      <c r="AA60" s="1"/>
      <c r="AB60" s="1"/>
      <c r="AC60" s="1"/>
      <c r="AD60" s="17" t="s">
        <v>266</v>
      </c>
      <c r="AE60" s="240">
        <v>509488</v>
      </c>
      <c r="AF60" s="242" t="s">
        <v>631</v>
      </c>
      <c r="AG60" s="240">
        <v>509488</v>
      </c>
      <c r="AJ60" s="17" t="s">
        <v>266</v>
      </c>
      <c r="AK60" s="240" t="str">
        <f t="shared" si="15"/>
        <v>Graphite India</v>
      </c>
      <c r="AL60" s="240" t="str">
        <f t="shared" si="16"/>
        <v>HEG</v>
      </c>
      <c r="AM60" s="240" t="str">
        <f t="shared" si="17"/>
        <v>Esab India</v>
      </c>
      <c r="AN60" s="240" t="str">
        <f t="shared" si="18"/>
        <v>Ador Welding</v>
      </c>
      <c r="AO60" s="240" t="str">
        <f t="shared" si="19"/>
        <v/>
      </c>
      <c r="AP60" s="240" t="str">
        <f t="shared" si="20"/>
        <v/>
      </c>
      <c r="AQ60" s="240" t="str">
        <f t="shared" si="21"/>
        <v/>
      </c>
      <c r="AR60" s="240" t="str">
        <f t="shared" si="22"/>
        <v/>
      </c>
      <c r="AS60" s="240" t="str">
        <f t="shared" si="23"/>
        <v/>
      </c>
      <c r="AT60" s="240" t="str">
        <f t="shared" si="24"/>
        <v/>
      </c>
      <c r="AU60" s="240" t="str">
        <f t="shared" si="25"/>
        <v/>
      </c>
      <c r="AV60" s="240" t="str">
        <f t="shared" si="26"/>
        <v/>
      </c>
      <c r="AW60" s="240" t="str">
        <f t="shared" si="27"/>
        <v/>
      </c>
      <c r="AX60" s="240" t="str">
        <f t="shared" si="28"/>
        <v/>
      </c>
      <c r="AY60" s="240" t="str">
        <f t="shared" si="29"/>
        <v/>
      </c>
    </row>
    <row r="61" spans="1:51">
      <c r="A61" s="17" t="s">
        <v>242</v>
      </c>
      <c r="B61" s="242" t="s">
        <v>708</v>
      </c>
      <c r="C61" s="242" t="s">
        <v>941</v>
      </c>
      <c r="D61" s="242" t="s">
        <v>1086</v>
      </c>
      <c r="E61" s="242" t="s">
        <v>1087</v>
      </c>
      <c r="F61" s="242"/>
      <c r="G61" s="242"/>
      <c r="H61" s="242"/>
      <c r="I61" s="242"/>
      <c r="J61" s="242"/>
      <c r="K61" s="242"/>
      <c r="L61" s="242"/>
      <c r="M61" s="242"/>
      <c r="N61" s="242"/>
      <c r="O61" s="17" t="s">
        <v>242</v>
      </c>
      <c r="P61" s="1">
        <v>500241</v>
      </c>
      <c r="Q61" s="1">
        <v>500249</v>
      </c>
      <c r="R61" s="240">
        <v>531431</v>
      </c>
      <c r="S61" s="240">
        <v>505242</v>
      </c>
      <c r="T61" s="240"/>
      <c r="U61" s="240"/>
      <c r="V61" s="240"/>
      <c r="W61" s="240"/>
      <c r="X61" s="1"/>
      <c r="Y61" s="1"/>
      <c r="Z61" s="1"/>
      <c r="AA61" s="1"/>
      <c r="AB61" s="1"/>
      <c r="AC61" s="1"/>
      <c r="AD61" s="17" t="s">
        <v>242</v>
      </c>
      <c r="AE61" s="1">
        <v>500241</v>
      </c>
      <c r="AF61" s="242" t="s">
        <v>708</v>
      </c>
      <c r="AG61" s="1">
        <v>500241</v>
      </c>
      <c r="AJ61" s="17" t="s">
        <v>242</v>
      </c>
      <c r="AK61" s="240" t="str">
        <f t="shared" si="15"/>
        <v>Kirl. Brothers</v>
      </c>
      <c r="AL61" s="240" t="str">
        <f t="shared" si="16"/>
        <v>KSB Pumps</v>
      </c>
      <c r="AM61" s="240" t="str">
        <f t="shared" si="17"/>
        <v>Shakti Pumps</v>
      </c>
      <c r="AN61" s="240" t="str">
        <f t="shared" si="18"/>
        <v>Dynamatic Tech.</v>
      </c>
      <c r="AO61" s="240" t="str">
        <f t="shared" si="19"/>
        <v/>
      </c>
      <c r="AP61" s="240" t="str">
        <f t="shared" si="20"/>
        <v/>
      </c>
      <c r="AQ61" s="240" t="str">
        <f t="shared" si="21"/>
        <v/>
      </c>
      <c r="AR61" s="240" t="str">
        <f t="shared" si="22"/>
        <v/>
      </c>
      <c r="AS61" s="240" t="str">
        <f t="shared" si="23"/>
        <v/>
      </c>
      <c r="AT61" s="240" t="str">
        <f t="shared" si="24"/>
        <v/>
      </c>
      <c r="AU61" s="240" t="str">
        <f t="shared" si="25"/>
        <v/>
      </c>
      <c r="AV61" s="240" t="str">
        <f t="shared" si="26"/>
        <v/>
      </c>
      <c r="AW61" s="240" t="str">
        <f t="shared" si="27"/>
        <v/>
      </c>
      <c r="AX61" s="240" t="str">
        <f t="shared" si="28"/>
        <v/>
      </c>
      <c r="AY61" s="240" t="str">
        <f t="shared" si="29"/>
        <v/>
      </c>
    </row>
    <row r="62" spans="1:51">
      <c r="A62" s="17" t="s">
        <v>286</v>
      </c>
      <c r="B62" s="242" t="s">
        <v>1088</v>
      </c>
      <c r="C62" s="242"/>
      <c r="D62" s="242"/>
      <c r="E62" s="242"/>
      <c r="F62" s="242"/>
      <c r="G62" s="242"/>
      <c r="H62" s="242"/>
      <c r="I62" s="242"/>
      <c r="J62" s="242"/>
      <c r="K62" s="242"/>
      <c r="L62" s="242"/>
      <c r="M62" s="242"/>
      <c r="N62" s="242"/>
      <c r="O62" s="17" t="s">
        <v>286</v>
      </c>
      <c r="P62" s="240">
        <v>500114</v>
      </c>
      <c r="Q62" s="240"/>
      <c r="R62" s="240"/>
      <c r="S62" s="240"/>
      <c r="T62" s="1"/>
      <c r="U62" s="1"/>
      <c r="V62" s="1"/>
      <c r="W62" s="1"/>
      <c r="X62" s="1"/>
      <c r="Y62" s="1"/>
      <c r="Z62" s="1"/>
      <c r="AA62" s="1"/>
      <c r="AB62" s="1"/>
      <c r="AC62" s="1"/>
      <c r="AD62" s="17" t="s">
        <v>286</v>
      </c>
      <c r="AE62" s="240">
        <v>500114</v>
      </c>
      <c r="AF62" s="242" t="s">
        <v>1088</v>
      </c>
      <c r="AG62" s="240">
        <v>500114</v>
      </c>
      <c r="AJ62" s="17" t="s">
        <v>286</v>
      </c>
      <c r="AK62" s="240" t="str">
        <f t="shared" si="15"/>
        <v>Titan Company</v>
      </c>
      <c r="AL62" s="240" t="str">
        <f t="shared" si="16"/>
        <v/>
      </c>
      <c r="AM62" s="240" t="str">
        <f t="shared" si="17"/>
        <v/>
      </c>
      <c r="AN62" s="240" t="str">
        <f t="shared" si="18"/>
        <v/>
      </c>
      <c r="AO62" s="240" t="str">
        <f t="shared" si="19"/>
        <v/>
      </c>
      <c r="AP62" s="240" t="str">
        <f t="shared" si="20"/>
        <v/>
      </c>
      <c r="AQ62" s="240" t="str">
        <f t="shared" si="21"/>
        <v/>
      </c>
      <c r="AR62" s="240" t="str">
        <f t="shared" si="22"/>
        <v/>
      </c>
      <c r="AS62" s="240" t="str">
        <f t="shared" si="23"/>
        <v/>
      </c>
      <c r="AT62" s="240" t="str">
        <f t="shared" si="24"/>
        <v/>
      </c>
      <c r="AU62" s="240" t="str">
        <f t="shared" si="25"/>
        <v/>
      </c>
      <c r="AV62" s="240" t="str">
        <f t="shared" si="26"/>
        <v/>
      </c>
      <c r="AW62" s="240" t="str">
        <f t="shared" si="27"/>
        <v/>
      </c>
      <c r="AX62" s="240" t="str">
        <f t="shared" si="28"/>
        <v/>
      </c>
      <c r="AY62" s="240" t="str">
        <f t="shared" si="29"/>
        <v/>
      </c>
    </row>
    <row r="63" spans="1:51">
      <c r="A63" s="17" t="s">
        <v>339</v>
      </c>
      <c r="B63" s="242" t="s">
        <v>611</v>
      </c>
      <c r="C63" s="242" t="s">
        <v>1089</v>
      </c>
      <c r="D63" s="242" t="s">
        <v>1090</v>
      </c>
      <c r="E63" s="242" t="s">
        <v>1091</v>
      </c>
      <c r="F63" s="242" t="s">
        <v>614</v>
      </c>
      <c r="G63" s="242" t="s">
        <v>612</v>
      </c>
      <c r="H63" s="242" t="s">
        <v>613</v>
      </c>
      <c r="I63" s="242" t="s">
        <v>615</v>
      </c>
      <c r="J63" s="242"/>
      <c r="K63" s="242"/>
      <c r="L63" s="242"/>
      <c r="M63" s="242"/>
      <c r="N63" s="242"/>
      <c r="O63" s="17" t="s">
        <v>339</v>
      </c>
      <c r="P63" s="240">
        <v>531500</v>
      </c>
      <c r="Q63" s="240">
        <v>532156</v>
      </c>
      <c r="R63" s="1">
        <v>531847</v>
      </c>
      <c r="S63" s="1">
        <v>523236</v>
      </c>
      <c r="T63" s="1">
        <v>532715</v>
      </c>
      <c r="U63" s="1">
        <v>534809</v>
      </c>
      <c r="V63" s="1">
        <v>534369</v>
      </c>
      <c r="W63" s="1">
        <v>533180</v>
      </c>
      <c r="X63" s="1"/>
      <c r="Y63" s="1"/>
      <c r="Z63" s="1"/>
      <c r="AA63" s="1"/>
      <c r="AB63" s="1"/>
      <c r="AC63" s="1"/>
      <c r="AD63" s="17" t="s">
        <v>339</v>
      </c>
      <c r="AE63" s="240">
        <v>531500</v>
      </c>
      <c r="AF63" s="242" t="s">
        <v>611</v>
      </c>
      <c r="AG63" s="240">
        <v>531500</v>
      </c>
      <c r="AJ63" s="17" t="s">
        <v>339</v>
      </c>
      <c r="AK63" s="240" t="str">
        <f t="shared" si="15"/>
        <v>Rajesh Exports</v>
      </c>
      <c r="AL63" s="240" t="str">
        <f t="shared" si="16"/>
        <v>Vaibhav Global</v>
      </c>
      <c r="AM63" s="240" t="str">
        <f t="shared" si="17"/>
        <v>Asian Star Co.</v>
      </c>
      <c r="AN63" s="240" t="str">
        <f t="shared" si="18"/>
        <v>Shrenuj &amp; Co.</v>
      </c>
      <c r="AO63" s="240" t="str">
        <f t="shared" si="19"/>
        <v>Gitanjali Gems</v>
      </c>
      <c r="AP63" s="240" t="str">
        <f t="shared" si="20"/>
        <v>PC Jeweller</v>
      </c>
      <c r="AQ63" s="240" t="str">
        <f t="shared" si="21"/>
        <v>T B Z</v>
      </c>
      <c r="AR63" s="240" t="str">
        <f t="shared" si="22"/>
        <v>Shree Gan.Jew.</v>
      </c>
      <c r="AS63" s="240" t="str">
        <f t="shared" si="23"/>
        <v/>
      </c>
      <c r="AT63" s="240" t="str">
        <f t="shared" si="24"/>
        <v/>
      </c>
      <c r="AU63" s="240" t="str">
        <f t="shared" si="25"/>
        <v/>
      </c>
      <c r="AV63" s="240" t="str">
        <f t="shared" si="26"/>
        <v/>
      </c>
      <c r="AW63" s="240" t="str">
        <f t="shared" si="27"/>
        <v/>
      </c>
      <c r="AX63" s="240" t="str">
        <f t="shared" si="28"/>
        <v/>
      </c>
      <c r="AY63" s="240" t="str">
        <f t="shared" si="29"/>
        <v/>
      </c>
    </row>
    <row r="64" spans="1:51">
      <c r="A64" s="17" t="s">
        <v>338</v>
      </c>
      <c r="B64" s="242" t="s">
        <v>610</v>
      </c>
      <c r="C64" s="242" t="s">
        <v>944</v>
      </c>
      <c r="D64" s="242" t="s">
        <v>1092</v>
      </c>
      <c r="E64" s="242" t="s">
        <v>609</v>
      </c>
      <c r="F64" s="242"/>
      <c r="G64" s="242"/>
      <c r="H64" s="242"/>
      <c r="I64" s="242"/>
      <c r="J64" s="242"/>
      <c r="K64" s="242"/>
      <c r="L64" s="242"/>
      <c r="M64" s="242"/>
      <c r="N64" s="242"/>
      <c r="O64" s="17" t="s">
        <v>338</v>
      </c>
      <c r="P64" s="240">
        <v>533261</v>
      </c>
      <c r="Q64" s="240">
        <v>532706</v>
      </c>
      <c r="R64" s="1">
        <v>532399</v>
      </c>
      <c r="S64" s="1">
        <v>532748</v>
      </c>
      <c r="T64" s="1"/>
      <c r="U64" s="1"/>
      <c r="V64" s="1"/>
      <c r="W64" s="1"/>
      <c r="X64" s="1"/>
      <c r="Y64" s="1"/>
      <c r="Z64" s="1"/>
      <c r="AA64" s="1"/>
      <c r="AB64" s="1"/>
      <c r="AC64" s="1"/>
      <c r="AD64" s="17" t="s">
        <v>338</v>
      </c>
      <c r="AE64" s="240">
        <v>533261</v>
      </c>
      <c r="AF64" s="242" t="s">
        <v>610</v>
      </c>
      <c r="AG64" s="240">
        <v>533261</v>
      </c>
      <c r="AJ64" s="17" t="s">
        <v>338</v>
      </c>
      <c r="AK64" s="240" t="str">
        <f t="shared" si="15"/>
        <v>Eros Intl.Media</v>
      </c>
      <c r="AL64" s="240" t="str">
        <f t="shared" si="16"/>
        <v>Inox Leisure</v>
      </c>
      <c r="AM64" s="240" t="str">
        <f t="shared" si="17"/>
        <v>Reliance Media</v>
      </c>
      <c r="AN64" s="240" t="str">
        <f t="shared" si="18"/>
        <v>Prime Focus</v>
      </c>
      <c r="AO64" s="240" t="str">
        <f t="shared" si="19"/>
        <v/>
      </c>
      <c r="AP64" s="240" t="str">
        <f t="shared" si="20"/>
        <v/>
      </c>
      <c r="AQ64" s="240" t="str">
        <f t="shared" si="21"/>
        <v/>
      </c>
      <c r="AR64" s="240" t="str">
        <f t="shared" si="22"/>
        <v/>
      </c>
      <c r="AS64" s="240" t="str">
        <f t="shared" si="23"/>
        <v/>
      </c>
      <c r="AT64" s="240" t="str">
        <f t="shared" si="24"/>
        <v/>
      </c>
      <c r="AU64" s="240" t="str">
        <f t="shared" si="25"/>
        <v/>
      </c>
      <c r="AV64" s="240" t="str">
        <f t="shared" si="26"/>
        <v/>
      </c>
      <c r="AW64" s="240" t="str">
        <f t="shared" si="27"/>
        <v/>
      </c>
      <c r="AX64" s="240" t="str">
        <f t="shared" si="28"/>
        <v/>
      </c>
      <c r="AY64" s="240" t="str">
        <f t="shared" si="29"/>
        <v/>
      </c>
    </row>
    <row r="65" spans="1:51">
      <c r="A65" s="17" t="s">
        <v>265</v>
      </c>
      <c r="B65" s="242" t="s">
        <v>616</v>
      </c>
      <c r="C65" s="242" t="s">
        <v>617</v>
      </c>
      <c r="D65" s="242" t="s">
        <v>618</v>
      </c>
      <c r="E65" s="242" t="s">
        <v>1093</v>
      </c>
      <c r="F65" s="242"/>
      <c r="G65" s="242"/>
      <c r="H65" s="242"/>
      <c r="I65" s="242"/>
      <c r="J65" s="242"/>
      <c r="K65" s="242"/>
      <c r="L65" s="242"/>
      <c r="M65" s="242"/>
      <c r="N65" s="242"/>
      <c r="O65" s="17" t="s">
        <v>265</v>
      </c>
      <c r="P65" s="1">
        <v>500480</v>
      </c>
      <c r="Q65" s="240">
        <v>533293</v>
      </c>
      <c r="R65" s="1">
        <v>501455</v>
      </c>
      <c r="S65" s="240">
        <v>500407</v>
      </c>
      <c r="T65" s="240"/>
      <c r="U65" s="242"/>
      <c r="V65" s="242"/>
      <c r="W65" s="1"/>
      <c r="X65" s="1"/>
      <c r="Y65" s="1"/>
      <c r="Z65" s="1"/>
      <c r="AA65" s="1"/>
      <c r="AB65" s="1"/>
      <c r="AC65" s="1"/>
      <c r="AD65" s="17" t="s">
        <v>265</v>
      </c>
      <c r="AE65" s="1">
        <v>500480</v>
      </c>
      <c r="AF65" s="242" t="s">
        <v>616</v>
      </c>
      <c r="AG65" s="1">
        <v>500480</v>
      </c>
      <c r="AJ65" s="17" t="s">
        <v>265</v>
      </c>
      <c r="AK65" s="240" t="str">
        <f t="shared" si="15"/>
        <v>Cummins India</v>
      </c>
      <c r="AL65" s="240" t="str">
        <f t="shared" si="16"/>
        <v>Kirloskar Oil</v>
      </c>
      <c r="AM65" s="240" t="str">
        <f t="shared" si="17"/>
        <v>Greaves Cotton</v>
      </c>
      <c r="AN65" s="240" t="str">
        <f t="shared" si="18"/>
        <v>Swaraj Engines</v>
      </c>
      <c r="AO65" s="240" t="str">
        <f t="shared" si="19"/>
        <v/>
      </c>
      <c r="AP65" s="240" t="str">
        <f t="shared" si="20"/>
        <v/>
      </c>
      <c r="AQ65" s="240" t="str">
        <f t="shared" si="21"/>
        <v/>
      </c>
      <c r="AR65" s="240" t="str">
        <f t="shared" si="22"/>
        <v/>
      </c>
      <c r="AS65" s="240" t="str">
        <f t="shared" si="23"/>
        <v/>
      </c>
      <c r="AT65" s="240" t="str">
        <f t="shared" si="24"/>
        <v/>
      </c>
      <c r="AU65" s="240" t="str">
        <f t="shared" si="25"/>
        <v/>
      </c>
      <c r="AV65" s="240" t="str">
        <f t="shared" si="26"/>
        <v/>
      </c>
      <c r="AW65" s="240" t="str">
        <f t="shared" si="27"/>
        <v/>
      </c>
      <c r="AX65" s="240" t="str">
        <f t="shared" si="28"/>
        <v/>
      </c>
      <c r="AY65" s="240" t="str">
        <f t="shared" si="29"/>
        <v/>
      </c>
    </row>
    <row r="66" spans="1:51">
      <c r="A66" s="17" t="s">
        <v>337</v>
      </c>
      <c r="B66" s="242" t="s">
        <v>599</v>
      </c>
      <c r="C66" s="242" t="s">
        <v>600</v>
      </c>
      <c r="D66" s="242"/>
      <c r="E66" s="242"/>
      <c r="F66" s="242"/>
      <c r="G66" s="242"/>
      <c r="H66" s="242"/>
      <c r="I66" s="242"/>
      <c r="J66" s="242"/>
      <c r="K66" s="242"/>
      <c r="L66" s="242"/>
      <c r="M66" s="242"/>
      <c r="N66" s="242"/>
      <c r="O66" s="17" t="s">
        <v>337</v>
      </c>
      <c r="P66" s="240">
        <v>505537</v>
      </c>
      <c r="Q66" s="240">
        <v>532733</v>
      </c>
      <c r="R66" s="1"/>
      <c r="S66" s="1"/>
      <c r="T66" s="1"/>
      <c r="U66" s="1"/>
      <c r="V66" s="1"/>
      <c r="W66" s="1"/>
      <c r="X66" s="1"/>
      <c r="Y66" s="1"/>
      <c r="Z66" s="1"/>
      <c r="AA66" s="1"/>
      <c r="AB66" s="1"/>
      <c r="AC66" s="1"/>
      <c r="AD66" s="17" t="s">
        <v>337</v>
      </c>
      <c r="AE66" s="240">
        <v>505537</v>
      </c>
      <c r="AF66" s="242" t="s">
        <v>599</v>
      </c>
      <c r="AG66" s="240">
        <v>505537</v>
      </c>
      <c r="AJ66" s="17" t="s">
        <v>337</v>
      </c>
      <c r="AK66" s="240" t="str">
        <f t="shared" ref="AK66:AK97" si="30">IFERROR(VLOOKUP(P66,$AE$2:$AF$691,2,FALSE),"")</f>
        <v>Zee Entertainmen</v>
      </c>
      <c r="AL66" s="240" t="str">
        <f t="shared" ref="AL66:AL97" si="31">IFERROR(VLOOKUP(Q66,$AE$2:$AF$691,2,FALSE),"")</f>
        <v>Sun TV Network</v>
      </c>
      <c r="AM66" s="240" t="str">
        <f t="shared" ref="AM66:AM97" si="32">IFERROR(VLOOKUP(R66,$AE$2:$AF$691,2,FALSE),"")</f>
        <v/>
      </c>
      <c r="AN66" s="240" t="str">
        <f t="shared" ref="AN66:AN97" si="33">IFERROR(VLOOKUP(S66,$AE$2:$AF$691,2,FALSE),"")</f>
        <v/>
      </c>
      <c r="AO66" s="240" t="str">
        <f t="shared" ref="AO66:AO97" si="34">IFERROR(VLOOKUP(T66,$AE$2:$AF$691,2,FALSE),"")</f>
        <v/>
      </c>
      <c r="AP66" s="240" t="str">
        <f t="shared" ref="AP66:AP97" si="35">IFERROR(VLOOKUP(U66,$AE$2:$AF$691,2,FALSE),"")</f>
        <v/>
      </c>
      <c r="AQ66" s="240" t="str">
        <f t="shared" ref="AQ66:AQ97" si="36">IFERROR(VLOOKUP(V66,$AE$2:$AF$691,2,FALSE),"")</f>
        <v/>
      </c>
      <c r="AR66" s="240" t="str">
        <f t="shared" ref="AR66:AR97" si="37">IFERROR(VLOOKUP(W66,$AE$2:$AF$691,2,FALSE),"")</f>
        <v/>
      </c>
      <c r="AS66" s="240" t="str">
        <f t="shared" ref="AS66:AS97" si="38">IFERROR(VLOOKUP(X66,$AE$2:$AF$691,2,FALSE),"")</f>
        <v/>
      </c>
      <c r="AT66" s="240" t="str">
        <f t="shared" ref="AT66:AT97" si="39">IFERROR(VLOOKUP(Y66,$AE$2:$AF$691,2,FALSE),"")</f>
        <v/>
      </c>
      <c r="AU66" s="240" t="str">
        <f t="shared" ref="AU66:AU97" si="40">IFERROR(VLOOKUP(Z66,$AE$2:$AF$691,2,FALSE),"")</f>
        <v/>
      </c>
      <c r="AV66" s="240" t="str">
        <f t="shared" ref="AV66:AV97" si="41">IFERROR(VLOOKUP(AA66,$AE$2:$AF$691,2,FALSE),"")</f>
        <v/>
      </c>
      <c r="AW66" s="240" t="str">
        <f t="shared" ref="AW66:AW97" si="42">IFERROR(VLOOKUP(AB66,$AE$2:$AF$691,2,FALSE),"")</f>
        <v/>
      </c>
      <c r="AX66" s="240" t="str">
        <f t="shared" ref="AX66:AX97" si="43">IFERROR(VLOOKUP(AC66,$AE$2:$AF$691,2,FALSE),"")</f>
        <v/>
      </c>
      <c r="AY66" s="240" t="str">
        <f t="shared" ref="AY66:AY97" si="44">IFERROR(VLOOKUP(AD66,$AE$2:$AF$691,2,FALSE),"")</f>
        <v/>
      </c>
    </row>
    <row r="67" spans="1:51">
      <c r="A67" s="17" t="s">
        <v>285</v>
      </c>
      <c r="B67" s="242" t="s">
        <v>602</v>
      </c>
      <c r="C67" s="242" t="s">
        <v>601</v>
      </c>
      <c r="D67" s="242" t="s">
        <v>603</v>
      </c>
      <c r="E67" s="242" t="s">
        <v>604</v>
      </c>
      <c r="F67" s="242" t="s">
        <v>429</v>
      </c>
      <c r="G67" s="242"/>
      <c r="H67" s="242"/>
      <c r="I67" s="242"/>
      <c r="J67" s="242"/>
      <c r="K67" s="242"/>
      <c r="L67" s="242"/>
      <c r="M67" s="242"/>
      <c r="N67" s="242"/>
      <c r="O67" s="17" t="s">
        <v>285</v>
      </c>
      <c r="P67" s="240">
        <v>533151</v>
      </c>
      <c r="Q67" s="240">
        <v>532839</v>
      </c>
      <c r="R67" s="240">
        <v>533162</v>
      </c>
      <c r="S67" s="240">
        <v>532800</v>
      </c>
      <c r="T67" s="1">
        <v>532705</v>
      </c>
      <c r="U67" s="1"/>
      <c r="V67" s="1"/>
      <c r="W67" s="1"/>
      <c r="X67" s="1"/>
      <c r="Y67" s="1"/>
      <c r="Z67" s="1"/>
      <c r="AA67" s="1"/>
      <c r="AB67" s="1"/>
      <c r="AC67" s="1"/>
      <c r="AD67" s="17" t="s">
        <v>285</v>
      </c>
      <c r="AE67" s="240">
        <v>533151</v>
      </c>
      <c r="AF67" s="242" t="s">
        <v>602</v>
      </c>
      <c r="AG67" s="240">
        <v>533151</v>
      </c>
      <c r="AJ67" s="17" t="s">
        <v>285</v>
      </c>
      <c r="AK67" s="240" t="str">
        <f t="shared" si="30"/>
        <v>D B Corp</v>
      </c>
      <c r="AL67" s="240" t="str">
        <f t="shared" si="31"/>
        <v>Dish TV</v>
      </c>
      <c r="AM67" s="240" t="str">
        <f t="shared" si="32"/>
        <v>Hathway Cable</v>
      </c>
      <c r="AN67" s="240" t="str">
        <f t="shared" si="33"/>
        <v>TV18 Broadcast</v>
      </c>
      <c r="AO67" s="240" t="str">
        <f t="shared" si="34"/>
        <v>Jagran Prakashan</v>
      </c>
      <c r="AP67" s="240" t="str">
        <f t="shared" si="35"/>
        <v/>
      </c>
      <c r="AQ67" s="240" t="str">
        <f t="shared" si="36"/>
        <v/>
      </c>
      <c r="AR67" s="240" t="str">
        <f t="shared" si="37"/>
        <v/>
      </c>
      <c r="AS67" s="240" t="str">
        <f t="shared" si="38"/>
        <v/>
      </c>
      <c r="AT67" s="240" t="str">
        <f t="shared" si="39"/>
        <v/>
      </c>
      <c r="AU67" s="240" t="str">
        <f t="shared" si="40"/>
        <v/>
      </c>
      <c r="AV67" s="240" t="str">
        <f t="shared" si="41"/>
        <v/>
      </c>
      <c r="AW67" s="240" t="str">
        <f t="shared" si="42"/>
        <v/>
      </c>
      <c r="AX67" s="240" t="str">
        <f t="shared" si="43"/>
        <v/>
      </c>
      <c r="AY67" s="240" t="str">
        <f t="shared" si="44"/>
        <v/>
      </c>
    </row>
    <row r="68" spans="1:51">
      <c r="A68" s="17" t="s">
        <v>539</v>
      </c>
      <c r="B68" s="242" t="s">
        <v>605</v>
      </c>
      <c r="C68" s="242" t="s">
        <v>430</v>
      </c>
      <c r="D68" s="242" t="s">
        <v>607</v>
      </c>
      <c r="E68" s="242" t="s">
        <v>608</v>
      </c>
      <c r="F68" s="242" t="s">
        <v>1094</v>
      </c>
      <c r="G68" s="242" t="s">
        <v>980</v>
      </c>
      <c r="H68" s="242" t="s">
        <v>1095</v>
      </c>
      <c r="I68" s="242" t="s">
        <v>606</v>
      </c>
      <c r="J68" s="242"/>
      <c r="K68" s="242"/>
      <c r="L68" s="242"/>
      <c r="M68" s="242"/>
      <c r="N68" s="242"/>
      <c r="O68" s="17" t="s">
        <v>539</v>
      </c>
      <c r="P68" s="240">
        <v>533137</v>
      </c>
      <c r="Q68" s="1">
        <v>532662</v>
      </c>
      <c r="R68" s="1">
        <v>532700</v>
      </c>
      <c r="S68" s="1">
        <v>532795</v>
      </c>
      <c r="T68" s="1">
        <v>532515</v>
      </c>
      <c r="U68" s="1">
        <v>533217</v>
      </c>
      <c r="V68" s="1">
        <v>532826</v>
      </c>
      <c r="W68" s="1">
        <v>532689</v>
      </c>
      <c r="X68" s="1"/>
      <c r="Y68" s="1"/>
      <c r="Z68" s="1"/>
      <c r="AA68" s="1"/>
      <c r="AB68" s="1"/>
      <c r="AC68" s="1"/>
      <c r="AD68" s="17" t="s">
        <v>539</v>
      </c>
      <c r="AE68" s="240">
        <v>533137</v>
      </c>
      <c r="AF68" s="242" t="s">
        <v>605</v>
      </c>
      <c r="AG68" s="240">
        <v>533137</v>
      </c>
      <c r="AJ68" s="17" t="s">
        <v>539</v>
      </c>
      <c r="AK68" s="240" t="str">
        <f t="shared" si="30"/>
        <v>Den Networks</v>
      </c>
      <c r="AL68" s="240" t="str">
        <f t="shared" si="31"/>
        <v>H T Media</v>
      </c>
      <c r="AM68" s="240" t="str">
        <f t="shared" si="32"/>
        <v>Ent.Network</v>
      </c>
      <c r="AN68" s="240" t="str">
        <f t="shared" si="33"/>
        <v>Siti Cable</v>
      </c>
      <c r="AO68" s="240" t="str">
        <f t="shared" si="34"/>
        <v>T.V. Today Netw.</v>
      </c>
      <c r="AP68" s="240" t="str">
        <f t="shared" si="35"/>
        <v>Hindustan Media</v>
      </c>
      <c r="AQ68" s="240" t="str">
        <f t="shared" si="36"/>
        <v>Raj Television</v>
      </c>
      <c r="AR68" s="240" t="str">
        <f t="shared" si="37"/>
        <v>PVR</v>
      </c>
      <c r="AS68" s="240" t="str">
        <f t="shared" si="38"/>
        <v/>
      </c>
      <c r="AT68" s="240" t="str">
        <f t="shared" si="39"/>
        <v/>
      </c>
      <c r="AU68" s="240" t="str">
        <f t="shared" si="40"/>
        <v/>
      </c>
      <c r="AV68" s="240" t="str">
        <f t="shared" si="41"/>
        <v/>
      </c>
      <c r="AW68" s="240" t="str">
        <f t="shared" si="42"/>
        <v/>
      </c>
      <c r="AX68" s="240" t="str">
        <f t="shared" si="43"/>
        <v/>
      </c>
      <c r="AY68" s="240" t="str">
        <f t="shared" si="44"/>
        <v/>
      </c>
    </row>
    <row r="69" spans="1:51">
      <c r="A69" s="17" t="s">
        <v>336</v>
      </c>
      <c r="B69" s="242" t="s">
        <v>591</v>
      </c>
      <c r="C69" s="242" t="s">
        <v>590</v>
      </c>
      <c r="D69" s="242" t="s">
        <v>592</v>
      </c>
      <c r="E69" s="242" t="s">
        <v>593</v>
      </c>
      <c r="F69" s="242"/>
      <c r="G69" s="242"/>
      <c r="H69" s="242"/>
      <c r="I69" s="242"/>
      <c r="J69" s="242"/>
      <c r="K69" s="242"/>
      <c r="L69" s="242"/>
      <c r="M69" s="242"/>
      <c r="N69" s="242"/>
      <c r="O69" s="17" t="s">
        <v>336</v>
      </c>
      <c r="P69" s="240">
        <v>500770</v>
      </c>
      <c r="Q69" s="240">
        <v>506395</v>
      </c>
      <c r="R69" s="1">
        <v>500690</v>
      </c>
      <c r="S69" s="1">
        <v>524230</v>
      </c>
      <c r="T69" s="1"/>
      <c r="U69" s="1"/>
      <c r="V69" s="1"/>
      <c r="W69" s="1"/>
      <c r="X69" s="1"/>
      <c r="Y69" s="1"/>
      <c r="Z69" s="1"/>
      <c r="AA69" s="1"/>
      <c r="AB69" s="1"/>
      <c r="AC69" s="1"/>
      <c r="AD69" s="17" t="s">
        <v>336</v>
      </c>
      <c r="AE69" s="240">
        <v>500770</v>
      </c>
      <c r="AF69" s="242" t="s">
        <v>591</v>
      </c>
      <c r="AG69" s="240">
        <v>500770</v>
      </c>
      <c r="AJ69" s="17" t="s">
        <v>336</v>
      </c>
      <c r="AK69" s="240" t="str">
        <f t="shared" si="30"/>
        <v>Tata Chemicals</v>
      </c>
      <c r="AL69" s="240" t="str">
        <f t="shared" si="31"/>
        <v>Coromandel Inter</v>
      </c>
      <c r="AM69" s="240" t="str">
        <f t="shared" si="32"/>
        <v>G S F C</v>
      </c>
      <c r="AN69" s="240" t="str">
        <f t="shared" si="33"/>
        <v>R C F</v>
      </c>
      <c r="AO69" s="240" t="str">
        <f t="shared" si="34"/>
        <v/>
      </c>
      <c r="AP69" s="240" t="str">
        <f t="shared" si="35"/>
        <v/>
      </c>
      <c r="AQ69" s="240" t="str">
        <f t="shared" si="36"/>
        <v/>
      </c>
      <c r="AR69" s="240" t="str">
        <f t="shared" si="37"/>
        <v/>
      </c>
      <c r="AS69" s="240" t="str">
        <f t="shared" si="38"/>
        <v/>
      </c>
      <c r="AT69" s="240" t="str">
        <f t="shared" si="39"/>
        <v/>
      </c>
      <c r="AU69" s="240" t="str">
        <f t="shared" si="40"/>
        <v/>
      </c>
      <c r="AV69" s="240" t="str">
        <f t="shared" si="41"/>
        <v/>
      </c>
      <c r="AW69" s="240" t="str">
        <f t="shared" si="42"/>
        <v/>
      </c>
      <c r="AX69" s="240" t="str">
        <f t="shared" si="43"/>
        <v/>
      </c>
      <c r="AY69" s="240" t="str">
        <f t="shared" si="44"/>
        <v/>
      </c>
    </row>
    <row r="70" spans="1:51">
      <c r="A70" s="17" t="s">
        <v>284</v>
      </c>
      <c r="B70" s="242" t="s">
        <v>594</v>
      </c>
      <c r="C70" s="242" t="s">
        <v>1096</v>
      </c>
      <c r="D70" s="242" t="s">
        <v>595</v>
      </c>
      <c r="E70" s="242" t="s">
        <v>596</v>
      </c>
      <c r="F70" s="242" t="s">
        <v>597</v>
      </c>
      <c r="G70" s="242" t="s">
        <v>1097</v>
      </c>
      <c r="H70" s="242" t="s">
        <v>931</v>
      </c>
      <c r="I70" s="242"/>
      <c r="J70" s="242"/>
      <c r="K70" s="242"/>
      <c r="L70" s="242"/>
      <c r="M70" s="242"/>
      <c r="N70" s="242"/>
      <c r="O70" s="17" t="s">
        <v>284</v>
      </c>
      <c r="P70" s="240">
        <v>500085</v>
      </c>
      <c r="Q70" s="240">
        <v>590024</v>
      </c>
      <c r="R70" s="240">
        <v>523630</v>
      </c>
      <c r="S70" s="240">
        <v>500645</v>
      </c>
      <c r="T70" s="242">
        <v>500670</v>
      </c>
      <c r="U70" s="1">
        <v>530011</v>
      </c>
      <c r="V70" s="1">
        <v>534742</v>
      </c>
      <c r="W70" s="1"/>
      <c r="X70" s="1"/>
      <c r="Y70" s="1"/>
      <c r="Z70" s="1"/>
      <c r="AA70" s="1"/>
      <c r="AB70" s="1"/>
      <c r="AC70" s="1"/>
      <c r="AD70" s="17" t="s">
        <v>284</v>
      </c>
      <c r="AE70" s="240">
        <v>500085</v>
      </c>
      <c r="AF70" s="242" t="s">
        <v>594</v>
      </c>
      <c r="AG70" s="240">
        <v>500085</v>
      </c>
      <c r="AJ70" s="17" t="s">
        <v>284</v>
      </c>
      <c r="AK70" s="240" t="str">
        <f t="shared" si="30"/>
        <v>Chambal Fert.</v>
      </c>
      <c r="AL70" s="240" t="str">
        <f t="shared" si="31"/>
        <v>F A C T</v>
      </c>
      <c r="AM70" s="240" t="str">
        <f t="shared" si="32"/>
        <v>Natl.Fertilizer</v>
      </c>
      <c r="AN70" s="240" t="str">
        <f t="shared" si="33"/>
        <v>Deepak Fert.</v>
      </c>
      <c r="AO70" s="240" t="str">
        <f t="shared" si="34"/>
        <v>G N F C</v>
      </c>
      <c r="AP70" s="240" t="str">
        <f t="shared" si="35"/>
        <v>Mangalore Chem.</v>
      </c>
      <c r="AQ70" s="240" t="str">
        <f t="shared" si="36"/>
        <v>Zuari Agro Chem.</v>
      </c>
      <c r="AR70" s="240" t="str">
        <f t="shared" si="37"/>
        <v/>
      </c>
      <c r="AS70" s="240" t="str">
        <f t="shared" si="38"/>
        <v/>
      </c>
      <c r="AT70" s="240" t="str">
        <f t="shared" si="39"/>
        <v/>
      </c>
      <c r="AU70" s="240" t="str">
        <f t="shared" si="40"/>
        <v/>
      </c>
      <c r="AV70" s="240" t="str">
        <f t="shared" si="41"/>
        <v/>
      </c>
      <c r="AW70" s="240" t="str">
        <f t="shared" si="42"/>
        <v/>
      </c>
      <c r="AX70" s="240" t="str">
        <f t="shared" si="43"/>
        <v/>
      </c>
      <c r="AY70" s="240" t="str">
        <f t="shared" si="44"/>
        <v/>
      </c>
    </row>
    <row r="71" spans="1:51">
      <c r="A71" s="17" t="s">
        <v>531</v>
      </c>
      <c r="B71" s="242" t="s">
        <v>580</v>
      </c>
      <c r="C71" s="242" t="s">
        <v>976</v>
      </c>
      <c r="D71" s="242" t="s">
        <v>581</v>
      </c>
      <c r="E71" s="242" t="s">
        <v>582</v>
      </c>
      <c r="F71" s="242" t="s">
        <v>583</v>
      </c>
      <c r="G71" s="242"/>
      <c r="H71" s="242"/>
      <c r="I71" s="242"/>
      <c r="J71" s="242"/>
      <c r="K71" s="242"/>
      <c r="L71" s="242"/>
      <c r="M71" s="242"/>
      <c r="N71" s="242"/>
      <c r="O71" s="17" t="s">
        <v>531</v>
      </c>
      <c r="P71" s="240">
        <v>511218</v>
      </c>
      <c r="Q71" s="1">
        <v>590071</v>
      </c>
      <c r="R71" s="1">
        <v>500111</v>
      </c>
      <c r="S71" s="1">
        <v>500034</v>
      </c>
      <c r="T71" s="1">
        <v>532498</v>
      </c>
      <c r="U71" s="1"/>
      <c r="V71" s="1"/>
      <c r="W71" s="1"/>
      <c r="X71" s="1"/>
      <c r="Y71" s="1"/>
      <c r="Z71" s="1"/>
      <c r="AA71" s="1"/>
      <c r="AB71" s="1"/>
      <c r="AC71" s="1"/>
      <c r="AD71" s="17" t="s">
        <v>531</v>
      </c>
      <c r="AE71" s="240">
        <v>511218</v>
      </c>
      <c r="AF71" s="242" t="s">
        <v>580</v>
      </c>
      <c r="AG71" s="240">
        <v>511218</v>
      </c>
      <c r="AJ71" s="17" t="s">
        <v>531</v>
      </c>
      <c r="AK71" s="240" t="str">
        <f t="shared" si="30"/>
        <v>Shriram Trans.</v>
      </c>
      <c r="AL71" s="240" t="str">
        <f t="shared" si="31"/>
        <v>Sundaram Finance</v>
      </c>
      <c r="AM71" s="240" t="str">
        <f t="shared" si="32"/>
        <v>Reliance Capital</v>
      </c>
      <c r="AN71" s="240" t="str">
        <f t="shared" si="33"/>
        <v>Bajaj Fin.</v>
      </c>
      <c r="AO71" s="240" t="str">
        <f t="shared" si="34"/>
        <v>Shri.City Union.</v>
      </c>
      <c r="AP71" s="240" t="str">
        <f t="shared" si="35"/>
        <v/>
      </c>
      <c r="AQ71" s="240" t="str">
        <f t="shared" si="36"/>
        <v/>
      </c>
      <c r="AR71" s="240" t="str">
        <f t="shared" si="37"/>
        <v/>
      </c>
      <c r="AS71" s="240" t="str">
        <f t="shared" si="38"/>
        <v/>
      </c>
      <c r="AT71" s="240" t="str">
        <f t="shared" si="39"/>
        <v/>
      </c>
      <c r="AU71" s="240" t="str">
        <f t="shared" si="40"/>
        <v/>
      </c>
      <c r="AV71" s="240" t="str">
        <f t="shared" si="41"/>
        <v/>
      </c>
      <c r="AW71" s="240" t="str">
        <f t="shared" si="42"/>
        <v/>
      </c>
      <c r="AX71" s="240" t="str">
        <f t="shared" si="43"/>
        <v/>
      </c>
      <c r="AY71" s="240" t="str">
        <f t="shared" si="44"/>
        <v/>
      </c>
    </row>
    <row r="72" spans="1:51">
      <c r="A72" s="17" t="s">
        <v>335</v>
      </c>
      <c r="B72" s="242" t="s">
        <v>585</v>
      </c>
      <c r="C72" s="242" t="s">
        <v>589</v>
      </c>
      <c r="D72" s="242" t="s">
        <v>1098</v>
      </c>
      <c r="E72" s="242" t="s">
        <v>1099</v>
      </c>
      <c r="F72" s="242" t="s">
        <v>587</v>
      </c>
      <c r="G72" s="242" t="s">
        <v>1100</v>
      </c>
      <c r="H72" s="242" t="s">
        <v>1101</v>
      </c>
      <c r="I72" s="242" t="s">
        <v>588</v>
      </c>
      <c r="J72" s="242"/>
      <c r="K72" s="242"/>
      <c r="L72" s="242"/>
      <c r="M72" s="242"/>
      <c r="N72" s="242"/>
      <c r="O72" s="17" t="s">
        <v>335</v>
      </c>
      <c r="P72" s="240">
        <v>511243</v>
      </c>
      <c r="Q72" s="240">
        <v>523756</v>
      </c>
      <c r="R72" s="1">
        <v>505502</v>
      </c>
      <c r="S72" s="1">
        <v>538180</v>
      </c>
      <c r="T72" s="1">
        <v>531213</v>
      </c>
      <c r="U72" s="1">
        <v>531737</v>
      </c>
      <c r="V72" s="1">
        <v>512311</v>
      </c>
      <c r="W72" s="1">
        <v>524000</v>
      </c>
      <c r="X72" s="1"/>
      <c r="Y72" s="1"/>
      <c r="Z72" s="1"/>
      <c r="AA72" s="1"/>
      <c r="AB72" s="1"/>
      <c r="AC72" s="1"/>
      <c r="AD72" s="17" t="s">
        <v>335</v>
      </c>
      <c r="AE72" s="240">
        <v>511243</v>
      </c>
      <c r="AF72" s="242" t="s">
        <v>585</v>
      </c>
      <c r="AG72" s="240">
        <v>511243</v>
      </c>
      <c r="AJ72" s="17" t="s">
        <v>335</v>
      </c>
      <c r="AK72" s="240" t="str">
        <f t="shared" si="30"/>
        <v>Chola. Invest.</v>
      </c>
      <c r="AL72" s="240" t="str">
        <f t="shared" si="31"/>
        <v>SREI Infra. Fin.</v>
      </c>
      <c r="AM72" s="240" t="str">
        <f t="shared" si="32"/>
        <v>PS IT Infra</v>
      </c>
      <c r="AN72" s="240" t="str">
        <f t="shared" si="33"/>
        <v>Goldline Intl.</v>
      </c>
      <c r="AO72" s="240" t="str">
        <f t="shared" si="34"/>
        <v>Manappuram Fin.</v>
      </c>
      <c r="AP72" s="240" t="str">
        <f t="shared" si="35"/>
        <v>Greencrest Finan</v>
      </c>
      <c r="AQ72" s="240" t="str">
        <f t="shared" si="36"/>
        <v>Surabhi Chemical</v>
      </c>
      <c r="AR72" s="240" t="str">
        <f t="shared" si="37"/>
        <v>Magma Fincorp</v>
      </c>
      <c r="AS72" s="240" t="str">
        <f t="shared" si="38"/>
        <v/>
      </c>
      <c r="AT72" s="240" t="str">
        <f t="shared" si="39"/>
        <v/>
      </c>
      <c r="AU72" s="240" t="str">
        <f t="shared" si="40"/>
        <v/>
      </c>
      <c r="AV72" s="240" t="str">
        <f t="shared" si="41"/>
        <v/>
      </c>
      <c r="AW72" s="240" t="str">
        <f t="shared" si="42"/>
        <v/>
      </c>
      <c r="AX72" s="240" t="str">
        <f t="shared" si="43"/>
        <v/>
      </c>
      <c r="AY72" s="240" t="str">
        <f t="shared" si="44"/>
        <v/>
      </c>
    </row>
    <row r="73" spans="1:51">
      <c r="A73" s="17" t="s">
        <v>527</v>
      </c>
      <c r="B73" s="242" t="s">
        <v>1102</v>
      </c>
      <c r="C73" s="242" t="s">
        <v>586</v>
      </c>
      <c r="D73" s="242" t="s">
        <v>1103</v>
      </c>
      <c r="E73" s="242" t="s">
        <v>1104</v>
      </c>
      <c r="F73" s="242" t="s">
        <v>981</v>
      </c>
      <c r="G73" s="242" t="s">
        <v>1105</v>
      </c>
      <c r="H73" s="242"/>
      <c r="I73" s="242"/>
      <c r="J73" s="242"/>
      <c r="K73" s="242"/>
      <c r="L73" s="242"/>
      <c r="M73" s="242"/>
      <c r="N73" s="242"/>
      <c r="O73" s="17" t="s">
        <v>527</v>
      </c>
      <c r="P73" s="240">
        <v>511357</v>
      </c>
      <c r="Q73" s="1">
        <v>501154</v>
      </c>
      <c r="R73" s="1">
        <v>501314</v>
      </c>
      <c r="S73" s="1">
        <v>531595</v>
      </c>
      <c r="T73" s="1">
        <v>511208</v>
      </c>
      <c r="U73" s="1">
        <v>532485</v>
      </c>
      <c r="V73" s="1"/>
      <c r="W73" s="1"/>
      <c r="X73" s="1"/>
      <c r="Y73" s="1"/>
      <c r="Z73" s="1"/>
      <c r="AA73" s="1"/>
      <c r="AB73" s="1"/>
      <c r="AC73" s="1"/>
      <c r="AD73" s="17" t="s">
        <v>527</v>
      </c>
      <c r="AE73" s="240">
        <v>511357</v>
      </c>
      <c r="AF73" s="242" t="s">
        <v>1102</v>
      </c>
      <c r="AG73" s="240">
        <v>511357</v>
      </c>
      <c r="AJ73" s="17" t="s">
        <v>527</v>
      </c>
      <c r="AK73" s="240" t="str">
        <f t="shared" si="30"/>
        <v>Kailash Auto Fin</v>
      </c>
      <c r="AL73" s="240" t="str">
        <f t="shared" si="31"/>
        <v>SE Investments</v>
      </c>
      <c r="AM73" s="240" t="str">
        <f t="shared" si="32"/>
        <v>Kamalakshi Fin</v>
      </c>
      <c r="AN73" s="240" t="str">
        <f t="shared" si="33"/>
        <v>Capri Global</v>
      </c>
      <c r="AO73" s="240" t="str">
        <f t="shared" si="34"/>
        <v>IL&amp;FS Inv Manage</v>
      </c>
      <c r="AP73" s="240" t="str">
        <f t="shared" si="35"/>
        <v>Balmer Law. Inv.</v>
      </c>
      <c r="AQ73" s="240" t="str">
        <f t="shared" si="36"/>
        <v/>
      </c>
      <c r="AR73" s="240" t="str">
        <f t="shared" si="37"/>
        <v/>
      </c>
      <c r="AS73" s="240" t="str">
        <f t="shared" si="38"/>
        <v/>
      </c>
      <c r="AT73" s="240" t="str">
        <f t="shared" si="39"/>
        <v/>
      </c>
      <c r="AU73" s="240" t="str">
        <f t="shared" si="40"/>
        <v/>
      </c>
      <c r="AV73" s="240" t="str">
        <f t="shared" si="41"/>
        <v/>
      </c>
      <c r="AW73" s="240" t="str">
        <f t="shared" si="42"/>
        <v/>
      </c>
      <c r="AX73" s="240" t="str">
        <f t="shared" si="43"/>
        <v/>
      </c>
      <c r="AY73" s="240" t="str">
        <f t="shared" si="44"/>
        <v/>
      </c>
    </row>
    <row r="74" spans="1:51">
      <c r="A74" s="17" t="s">
        <v>334</v>
      </c>
      <c r="B74" s="242" t="s">
        <v>574</v>
      </c>
      <c r="C74" s="242"/>
      <c r="D74" s="242"/>
      <c r="E74" s="242"/>
      <c r="F74" s="242"/>
      <c r="G74" s="242"/>
      <c r="H74" s="242"/>
      <c r="I74" s="242"/>
      <c r="J74" s="242"/>
      <c r="K74" s="242"/>
      <c r="L74" s="242"/>
      <c r="M74" s="242"/>
      <c r="N74" s="242"/>
      <c r="O74" s="17" t="s">
        <v>334</v>
      </c>
      <c r="P74" s="240">
        <v>500010</v>
      </c>
      <c r="Q74" s="240"/>
      <c r="R74" s="1"/>
      <c r="S74" s="1"/>
      <c r="T74" s="1"/>
      <c r="U74" s="1"/>
      <c r="V74" s="1"/>
      <c r="W74" s="1"/>
      <c r="X74" s="1"/>
      <c r="Y74" s="1"/>
      <c r="Z74" s="1"/>
      <c r="AA74" s="1"/>
      <c r="AB74" s="1"/>
      <c r="AC74" s="1"/>
      <c r="AD74" s="17" t="s">
        <v>334</v>
      </c>
      <c r="AE74" s="240">
        <v>500010</v>
      </c>
      <c r="AF74" s="242" t="s">
        <v>574</v>
      </c>
      <c r="AG74" s="240">
        <v>500010</v>
      </c>
      <c r="AJ74" s="17" t="s">
        <v>334</v>
      </c>
      <c r="AK74" s="240" t="str">
        <f t="shared" si="30"/>
        <v>H D F C</v>
      </c>
      <c r="AL74" s="240" t="str">
        <f t="shared" si="31"/>
        <v/>
      </c>
      <c r="AM74" s="240" t="str">
        <f t="shared" si="32"/>
        <v/>
      </c>
      <c r="AN74" s="240" t="str">
        <f t="shared" si="33"/>
        <v/>
      </c>
      <c r="AO74" s="240" t="str">
        <f t="shared" si="34"/>
        <v/>
      </c>
      <c r="AP74" s="240" t="str">
        <f t="shared" si="35"/>
        <v/>
      </c>
      <c r="AQ74" s="240" t="str">
        <f t="shared" si="36"/>
        <v/>
      </c>
      <c r="AR74" s="240" t="str">
        <f t="shared" si="37"/>
        <v/>
      </c>
      <c r="AS74" s="240" t="str">
        <f t="shared" si="38"/>
        <v/>
      </c>
      <c r="AT74" s="240" t="str">
        <f t="shared" si="39"/>
        <v/>
      </c>
      <c r="AU74" s="240" t="str">
        <f t="shared" si="40"/>
        <v/>
      </c>
      <c r="AV74" s="240" t="str">
        <f t="shared" si="41"/>
        <v/>
      </c>
      <c r="AW74" s="240" t="str">
        <f t="shared" si="42"/>
        <v/>
      </c>
      <c r="AX74" s="240" t="str">
        <f t="shared" si="43"/>
        <v/>
      </c>
      <c r="AY74" s="240" t="str">
        <f t="shared" si="44"/>
        <v/>
      </c>
    </row>
    <row r="75" spans="1:51">
      <c r="A75" s="242" t="s">
        <v>333</v>
      </c>
      <c r="B75" s="242" t="s">
        <v>575</v>
      </c>
      <c r="C75" s="242" t="s">
        <v>578</v>
      </c>
      <c r="D75" s="242" t="s">
        <v>576</v>
      </c>
      <c r="E75" s="242" t="s">
        <v>577</v>
      </c>
      <c r="F75" s="242" t="s">
        <v>917</v>
      </c>
      <c r="G75" s="242" t="s">
        <v>579</v>
      </c>
      <c r="H75" s="242"/>
      <c r="I75" s="242"/>
      <c r="J75" s="242"/>
      <c r="K75" s="242"/>
      <c r="L75" s="242"/>
      <c r="M75" s="242"/>
      <c r="N75" s="242"/>
      <c r="O75" s="17" t="s">
        <v>333</v>
      </c>
      <c r="P75" s="240">
        <v>500253</v>
      </c>
      <c r="Q75" s="240">
        <v>511072</v>
      </c>
      <c r="R75" s="1">
        <v>511288</v>
      </c>
      <c r="S75" s="1">
        <v>535322</v>
      </c>
      <c r="T75" s="1">
        <v>511196</v>
      </c>
      <c r="U75" s="1">
        <v>511676</v>
      </c>
      <c r="V75" s="1"/>
      <c r="W75" s="1"/>
      <c r="X75" s="1"/>
      <c r="Y75" s="1"/>
      <c r="Z75" s="1"/>
      <c r="AA75" s="1"/>
      <c r="AB75" s="1"/>
      <c r="AC75" s="1"/>
      <c r="AD75" s="17" t="s">
        <v>333</v>
      </c>
      <c r="AE75" s="240">
        <v>500253</v>
      </c>
      <c r="AF75" s="242" t="s">
        <v>575</v>
      </c>
      <c r="AG75" s="240">
        <v>500253</v>
      </c>
      <c r="AJ75" s="17" t="s">
        <v>333</v>
      </c>
      <c r="AK75" s="240" t="str">
        <f t="shared" si="30"/>
        <v>LIC Housing Fin.</v>
      </c>
      <c r="AL75" s="240" t="str">
        <f t="shared" si="31"/>
        <v>Dewan Housing</v>
      </c>
      <c r="AM75" s="240" t="str">
        <f t="shared" si="32"/>
        <v>GRUH Finance</v>
      </c>
      <c r="AN75" s="240" t="str">
        <f t="shared" si="33"/>
        <v>Repco Home Fin</v>
      </c>
      <c r="AO75" s="240" t="str">
        <f t="shared" si="34"/>
        <v>Can Fin Homes</v>
      </c>
      <c r="AP75" s="240" t="str">
        <f t="shared" si="35"/>
        <v>GIC Housing Fin</v>
      </c>
      <c r="AQ75" s="240" t="str">
        <f t="shared" si="36"/>
        <v/>
      </c>
      <c r="AR75" s="240" t="str">
        <f t="shared" si="37"/>
        <v/>
      </c>
      <c r="AS75" s="240" t="str">
        <f t="shared" si="38"/>
        <v/>
      </c>
      <c r="AT75" s="240" t="str">
        <f t="shared" si="39"/>
        <v/>
      </c>
      <c r="AU75" s="240" t="str">
        <f t="shared" si="40"/>
        <v/>
      </c>
      <c r="AV75" s="240" t="str">
        <f t="shared" si="41"/>
        <v/>
      </c>
      <c r="AW75" s="240" t="str">
        <f t="shared" si="42"/>
        <v/>
      </c>
      <c r="AX75" s="240" t="str">
        <f t="shared" si="43"/>
        <v/>
      </c>
      <c r="AY75" s="240" t="str">
        <f t="shared" si="44"/>
        <v/>
      </c>
    </row>
    <row r="76" spans="1:51">
      <c r="A76" s="17" t="s">
        <v>309</v>
      </c>
      <c r="B76" s="242" t="s">
        <v>557</v>
      </c>
      <c r="C76" s="242" t="s">
        <v>556</v>
      </c>
      <c r="D76" s="242" t="s">
        <v>558</v>
      </c>
      <c r="E76" s="242" t="s">
        <v>572</v>
      </c>
      <c r="F76" s="242" t="s">
        <v>570</v>
      </c>
      <c r="G76" s="242" t="s">
        <v>573</v>
      </c>
      <c r="H76" s="242" t="s">
        <v>1106</v>
      </c>
      <c r="I76" s="242" t="s">
        <v>571</v>
      </c>
      <c r="J76" s="242"/>
      <c r="K76" s="242"/>
      <c r="L76" s="242"/>
      <c r="M76" s="242"/>
      <c r="N76" s="242"/>
      <c r="O76" s="17" t="s">
        <v>309</v>
      </c>
      <c r="P76" s="240">
        <v>532810</v>
      </c>
      <c r="Q76" s="240">
        <v>532955</v>
      </c>
      <c r="R76" s="240">
        <v>532659</v>
      </c>
      <c r="S76" s="1">
        <v>532978</v>
      </c>
      <c r="T76" s="1">
        <v>532720</v>
      </c>
      <c r="U76" s="1">
        <v>500490</v>
      </c>
      <c r="V76" s="1">
        <v>535789</v>
      </c>
      <c r="W76" s="1">
        <v>533519</v>
      </c>
      <c r="X76" s="1"/>
      <c r="Y76" s="1"/>
      <c r="Z76" s="1"/>
      <c r="AA76" s="1"/>
      <c r="AB76" s="1"/>
      <c r="AC76" s="1"/>
      <c r="AD76" s="17" t="s">
        <v>309</v>
      </c>
      <c r="AE76" s="240">
        <v>532810</v>
      </c>
      <c r="AF76" s="242" t="s">
        <v>557</v>
      </c>
      <c r="AG76" s="240">
        <v>532810</v>
      </c>
      <c r="AJ76" s="17" t="s">
        <v>309</v>
      </c>
      <c r="AK76" s="240" t="str">
        <f t="shared" si="30"/>
        <v>Power Fin.Corpn.</v>
      </c>
      <c r="AL76" s="240" t="str">
        <f t="shared" si="31"/>
        <v>Rural Elec.Corp.</v>
      </c>
      <c r="AM76" s="240" t="str">
        <f t="shared" si="32"/>
        <v>I D F C</v>
      </c>
      <c r="AN76" s="240" t="str">
        <f t="shared" si="33"/>
        <v>Bajaj Finserv</v>
      </c>
      <c r="AO76" s="240" t="str">
        <f t="shared" si="34"/>
        <v>M &amp; M Financial</v>
      </c>
      <c r="AP76" s="240" t="str">
        <f t="shared" si="35"/>
        <v>Bajaj Holdings</v>
      </c>
      <c r="AQ76" s="240" t="str">
        <f t="shared" si="36"/>
        <v>Indiabulls Hous.</v>
      </c>
      <c r="AR76" s="240" t="str">
        <f t="shared" si="37"/>
        <v>L&amp;T Fin.Holdings</v>
      </c>
      <c r="AS76" s="240" t="str">
        <f t="shared" si="38"/>
        <v/>
      </c>
      <c r="AT76" s="240" t="str">
        <f t="shared" si="39"/>
        <v/>
      </c>
      <c r="AU76" s="240" t="str">
        <f t="shared" si="40"/>
        <v/>
      </c>
      <c r="AV76" s="240" t="str">
        <f t="shared" si="41"/>
        <v/>
      </c>
      <c r="AW76" s="240" t="str">
        <f t="shared" si="42"/>
        <v/>
      </c>
      <c r="AX76" s="240" t="str">
        <f t="shared" si="43"/>
        <v/>
      </c>
      <c r="AY76" s="240" t="str">
        <f t="shared" si="44"/>
        <v/>
      </c>
    </row>
    <row r="77" spans="1:51">
      <c r="A77" s="17" t="s">
        <v>332</v>
      </c>
      <c r="B77" s="242" t="s">
        <v>566</v>
      </c>
      <c r="C77" s="242" t="s">
        <v>565</v>
      </c>
      <c r="D77" s="242" t="s">
        <v>567</v>
      </c>
      <c r="E77" s="242" t="s">
        <v>1107</v>
      </c>
      <c r="F77" s="242" t="s">
        <v>568</v>
      </c>
      <c r="G77" s="242" t="s">
        <v>559</v>
      </c>
      <c r="H77" s="242"/>
      <c r="I77" s="242"/>
      <c r="J77" s="242"/>
      <c r="K77" s="242"/>
      <c r="L77" s="242"/>
      <c r="M77" s="242"/>
      <c r="N77" s="242"/>
      <c r="O77" s="17" t="s">
        <v>332</v>
      </c>
      <c r="P77" s="240">
        <v>533398</v>
      </c>
      <c r="Q77" s="240">
        <v>532915</v>
      </c>
      <c r="R77" s="242">
        <v>532798</v>
      </c>
      <c r="S77" s="1">
        <v>534060</v>
      </c>
      <c r="T77" s="1">
        <v>532922</v>
      </c>
      <c r="U77" s="1">
        <v>500106</v>
      </c>
      <c r="V77" s="1"/>
      <c r="W77" s="1"/>
      <c r="X77" s="1"/>
      <c r="Y77" s="1"/>
      <c r="Z77" s="1"/>
      <c r="AA77" s="1"/>
      <c r="AB77" s="1"/>
      <c r="AC77" s="1"/>
      <c r="AD77" s="17" t="s">
        <v>332</v>
      </c>
      <c r="AE77" s="240">
        <v>533398</v>
      </c>
      <c r="AF77" s="242" t="s">
        <v>566</v>
      </c>
      <c r="AG77" s="240">
        <v>533398</v>
      </c>
      <c r="AJ77" s="17" t="s">
        <v>332</v>
      </c>
      <c r="AK77" s="240" t="str">
        <f t="shared" si="30"/>
        <v>Muthoot Finance</v>
      </c>
      <c r="AL77" s="240" t="str">
        <f t="shared" si="31"/>
        <v>Religare Enterp.</v>
      </c>
      <c r="AM77" s="240" t="str">
        <f t="shared" si="32"/>
        <v>Netwrk.18 Media</v>
      </c>
      <c r="AN77" s="240" t="str">
        <f t="shared" si="33"/>
        <v>PMC Fincorp</v>
      </c>
      <c r="AO77" s="240" t="str">
        <f t="shared" si="34"/>
        <v>Edelweiss.Fin.</v>
      </c>
      <c r="AP77" s="240" t="str">
        <f t="shared" si="35"/>
        <v>IFCI</v>
      </c>
      <c r="AQ77" s="240" t="str">
        <f t="shared" si="36"/>
        <v/>
      </c>
      <c r="AR77" s="240" t="str">
        <f t="shared" si="37"/>
        <v/>
      </c>
      <c r="AS77" s="240" t="str">
        <f t="shared" si="38"/>
        <v/>
      </c>
      <c r="AT77" s="240" t="str">
        <f t="shared" si="39"/>
        <v/>
      </c>
      <c r="AU77" s="240" t="str">
        <f t="shared" si="40"/>
        <v/>
      </c>
      <c r="AV77" s="240" t="str">
        <f t="shared" si="41"/>
        <v/>
      </c>
      <c r="AW77" s="240" t="str">
        <f t="shared" si="42"/>
        <v/>
      </c>
      <c r="AX77" s="240" t="str">
        <f t="shared" si="43"/>
        <v/>
      </c>
      <c r="AY77" s="240" t="str">
        <f t="shared" si="44"/>
        <v/>
      </c>
    </row>
    <row r="78" spans="1:51">
      <c r="A78" s="17" t="s">
        <v>331</v>
      </c>
      <c r="B78" s="242" t="s">
        <v>561</v>
      </c>
      <c r="C78" s="242" t="s">
        <v>1108</v>
      </c>
      <c r="D78" s="242" t="s">
        <v>560</v>
      </c>
      <c r="E78" s="242" t="s">
        <v>569</v>
      </c>
      <c r="F78" s="242" t="s">
        <v>563</v>
      </c>
      <c r="G78" s="242" t="s">
        <v>1109</v>
      </c>
      <c r="H78" s="242" t="s">
        <v>562</v>
      </c>
      <c r="I78" s="242" t="s">
        <v>1110</v>
      </c>
      <c r="J78" s="242"/>
      <c r="K78" s="242"/>
      <c r="L78" s="242"/>
      <c r="M78" s="242"/>
      <c r="N78" s="242"/>
      <c r="O78" s="17" t="s">
        <v>331</v>
      </c>
      <c r="P78" s="240">
        <v>533228</v>
      </c>
      <c r="Q78" s="240">
        <v>503663</v>
      </c>
      <c r="R78" s="1">
        <v>523405</v>
      </c>
      <c r="S78" s="1">
        <v>501301</v>
      </c>
      <c r="T78" s="1">
        <v>532892</v>
      </c>
      <c r="U78" s="1">
        <v>533344</v>
      </c>
      <c r="V78" s="1">
        <v>532938</v>
      </c>
      <c r="W78" s="1">
        <v>508969</v>
      </c>
      <c r="X78" s="1"/>
      <c r="Y78" s="1"/>
      <c r="Z78" s="1"/>
      <c r="AA78" s="1"/>
      <c r="AB78" s="1"/>
      <c r="AC78" s="1"/>
      <c r="AD78" s="17" t="s">
        <v>331</v>
      </c>
      <c r="AE78" s="240">
        <v>533228</v>
      </c>
      <c r="AF78" s="242" t="s">
        <v>561</v>
      </c>
      <c r="AG78" s="240">
        <v>533228</v>
      </c>
      <c r="AJ78" s="17" t="s">
        <v>331</v>
      </c>
      <c r="AK78" s="240" t="str">
        <f t="shared" si="30"/>
        <v>SKS Microfinance</v>
      </c>
      <c r="AL78" s="240" t="str">
        <f t="shared" si="31"/>
        <v>Tilak Finance</v>
      </c>
      <c r="AM78" s="240" t="str">
        <f t="shared" si="32"/>
        <v>JM Financial</v>
      </c>
      <c r="AN78" s="240" t="str">
        <f t="shared" si="33"/>
        <v>Tata Inv.Corpn.</v>
      </c>
      <c r="AO78" s="240" t="str">
        <f t="shared" si="34"/>
        <v>Motil.Oswal.Fin.</v>
      </c>
      <c r="AP78" s="240" t="str">
        <f t="shared" si="35"/>
        <v>PTC India Fin</v>
      </c>
      <c r="AQ78" s="240" t="str">
        <f t="shared" si="36"/>
        <v>Capital First</v>
      </c>
      <c r="AR78" s="240" t="str">
        <f t="shared" si="37"/>
        <v>Sulabh Engineers</v>
      </c>
      <c r="AS78" s="240" t="str">
        <f t="shared" si="38"/>
        <v/>
      </c>
      <c r="AT78" s="240" t="str">
        <f t="shared" si="39"/>
        <v/>
      </c>
      <c r="AU78" s="240" t="str">
        <f t="shared" si="40"/>
        <v/>
      </c>
      <c r="AV78" s="240" t="str">
        <f t="shared" si="41"/>
        <v/>
      </c>
      <c r="AW78" s="240" t="str">
        <f t="shared" si="42"/>
        <v/>
      </c>
      <c r="AX78" s="240" t="str">
        <f t="shared" si="43"/>
        <v/>
      </c>
      <c r="AY78" s="240" t="str">
        <f t="shared" si="44"/>
        <v/>
      </c>
    </row>
    <row r="79" spans="1:51">
      <c r="A79" s="17" t="s">
        <v>308</v>
      </c>
      <c r="B79" s="242" t="s">
        <v>1111</v>
      </c>
      <c r="C79" s="242" t="s">
        <v>1112</v>
      </c>
      <c r="D79" s="242" t="s">
        <v>1113</v>
      </c>
      <c r="E79" s="242" t="s">
        <v>1114</v>
      </c>
      <c r="F79" s="242" t="s">
        <v>1115</v>
      </c>
      <c r="G79" s="242" t="s">
        <v>1116</v>
      </c>
      <c r="H79" s="242" t="s">
        <v>1117</v>
      </c>
      <c r="I79" s="242" t="s">
        <v>564</v>
      </c>
      <c r="J79" s="242" t="s">
        <v>1118</v>
      </c>
      <c r="K79" s="242"/>
      <c r="L79" s="242"/>
      <c r="M79" s="242"/>
      <c r="N79" s="242"/>
      <c r="O79" s="17" t="s">
        <v>308</v>
      </c>
      <c r="P79" s="240">
        <v>533297</v>
      </c>
      <c r="Q79" s="240">
        <v>537800</v>
      </c>
      <c r="R79" s="240">
        <v>535431</v>
      </c>
      <c r="S79" s="1">
        <v>512113</v>
      </c>
      <c r="T79" s="1">
        <v>538607</v>
      </c>
      <c r="U79" s="1">
        <v>590121</v>
      </c>
      <c r="V79" s="1">
        <v>511016</v>
      </c>
      <c r="W79" s="1">
        <v>532642</v>
      </c>
      <c r="X79" s="1">
        <v>532960</v>
      </c>
      <c r="Y79" s="1"/>
      <c r="Z79" s="1"/>
      <c r="AA79" s="1"/>
      <c r="AB79" s="1"/>
      <c r="AC79" s="1"/>
      <c r="AD79" s="17" t="s">
        <v>308</v>
      </c>
      <c r="AE79" s="240">
        <v>533297</v>
      </c>
      <c r="AF79" s="242" t="s">
        <v>1111</v>
      </c>
      <c r="AG79" s="240">
        <v>533297</v>
      </c>
      <c r="AJ79" s="17" t="s">
        <v>308</v>
      </c>
      <c r="AK79" s="240" t="str">
        <f t="shared" si="30"/>
        <v>Kirl.Bros.Inv.</v>
      </c>
      <c r="AL79" s="240" t="str">
        <f t="shared" si="31"/>
        <v>Mangalam Industr</v>
      </c>
      <c r="AM79" s="240" t="str">
        <f t="shared" si="32"/>
        <v>GCM Securit.</v>
      </c>
      <c r="AN79" s="240" t="str">
        <f t="shared" si="33"/>
        <v>Kelvin Fincap</v>
      </c>
      <c r="AO79" s="240" t="str">
        <f t="shared" si="34"/>
        <v>Ojas Asset Recr</v>
      </c>
      <c r="AP79" s="240" t="str">
        <f t="shared" si="35"/>
        <v>Pilani Invest.</v>
      </c>
      <c r="AQ79" s="240" t="str">
        <f t="shared" si="36"/>
        <v>Premier Cap Serv</v>
      </c>
      <c r="AR79" s="240" t="str">
        <f t="shared" si="37"/>
        <v>JSW Holdings</v>
      </c>
      <c r="AS79" s="240" t="str">
        <f t="shared" si="38"/>
        <v>Indiabulls Sec.</v>
      </c>
      <c r="AT79" s="240" t="str">
        <f t="shared" si="39"/>
        <v/>
      </c>
      <c r="AU79" s="240" t="str">
        <f t="shared" si="40"/>
        <v/>
      </c>
      <c r="AV79" s="240" t="str">
        <f t="shared" si="41"/>
        <v/>
      </c>
      <c r="AW79" s="240" t="str">
        <f t="shared" si="42"/>
        <v/>
      </c>
      <c r="AX79" s="240" t="str">
        <f t="shared" si="43"/>
        <v/>
      </c>
      <c r="AY79" s="240" t="str">
        <f t="shared" si="44"/>
        <v/>
      </c>
    </row>
    <row r="80" spans="1:51">
      <c r="A80" s="17" t="s">
        <v>283</v>
      </c>
      <c r="B80" s="242" t="s">
        <v>584</v>
      </c>
      <c r="C80" s="242"/>
      <c r="D80" s="242"/>
      <c r="E80" s="242"/>
      <c r="F80" s="242"/>
      <c r="G80" s="242"/>
      <c r="H80" s="242"/>
      <c r="I80" s="242"/>
      <c r="J80" s="242"/>
      <c r="K80" s="242"/>
      <c r="L80" s="242"/>
      <c r="M80" s="242"/>
      <c r="N80" s="242"/>
      <c r="O80" s="17" t="s">
        <v>283</v>
      </c>
      <c r="P80" s="240">
        <v>500271</v>
      </c>
      <c r="Q80" s="240"/>
      <c r="R80" s="240"/>
      <c r="S80" s="240"/>
      <c r="T80" s="1"/>
      <c r="U80" s="1"/>
      <c r="V80" s="1"/>
      <c r="W80" s="1"/>
      <c r="X80" s="1"/>
      <c r="Y80" s="1"/>
      <c r="Z80" s="1"/>
      <c r="AA80" s="1"/>
      <c r="AB80" s="1"/>
      <c r="AC80" s="1"/>
      <c r="AD80" s="17" t="s">
        <v>283</v>
      </c>
      <c r="AE80" s="240">
        <v>500271</v>
      </c>
      <c r="AF80" s="242" t="s">
        <v>584</v>
      </c>
      <c r="AG80" s="240">
        <v>500271</v>
      </c>
      <c r="AJ80" s="17" t="s">
        <v>283</v>
      </c>
      <c r="AK80" s="240" t="str">
        <f t="shared" si="30"/>
        <v>Max India</v>
      </c>
      <c r="AL80" s="240" t="str">
        <f t="shared" si="31"/>
        <v/>
      </c>
      <c r="AM80" s="240" t="str">
        <f t="shared" si="32"/>
        <v/>
      </c>
      <c r="AN80" s="240" t="str">
        <f t="shared" si="33"/>
        <v/>
      </c>
      <c r="AO80" s="240" t="str">
        <f t="shared" si="34"/>
        <v/>
      </c>
      <c r="AP80" s="240" t="str">
        <f t="shared" si="35"/>
        <v/>
      </c>
      <c r="AQ80" s="240" t="str">
        <f t="shared" si="36"/>
        <v/>
      </c>
      <c r="AR80" s="240" t="str">
        <f t="shared" si="37"/>
        <v/>
      </c>
      <c r="AS80" s="240" t="str">
        <f t="shared" si="38"/>
        <v/>
      </c>
      <c r="AT80" s="240" t="str">
        <f t="shared" si="39"/>
        <v/>
      </c>
      <c r="AU80" s="240" t="str">
        <f t="shared" si="40"/>
        <v/>
      </c>
      <c r="AV80" s="240" t="str">
        <f t="shared" si="41"/>
        <v/>
      </c>
      <c r="AW80" s="240" t="str">
        <f t="shared" si="42"/>
        <v/>
      </c>
      <c r="AX80" s="240" t="str">
        <f t="shared" si="43"/>
        <v/>
      </c>
      <c r="AY80" s="240" t="str">
        <f t="shared" si="44"/>
        <v/>
      </c>
    </row>
    <row r="81" spans="1:51">
      <c r="A81" s="17" t="s">
        <v>282</v>
      </c>
      <c r="B81" s="242" t="s">
        <v>1119</v>
      </c>
      <c r="C81" s="242" t="s">
        <v>1120</v>
      </c>
      <c r="D81" s="242" t="s">
        <v>1121</v>
      </c>
      <c r="E81" s="242" t="s">
        <v>1122</v>
      </c>
      <c r="F81" s="242" t="s">
        <v>1123</v>
      </c>
      <c r="G81" s="242" t="s">
        <v>1124</v>
      </c>
      <c r="H81" s="242" t="s">
        <v>505</v>
      </c>
      <c r="I81" s="242" t="s">
        <v>1125</v>
      </c>
      <c r="J81" s="242"/>
      <c r="K81" s="242"/>
      <c r="L81" s="242"/>
      <c r="M81" s="242"/>
      <c r="N81" s="242"/>
      <c r="O81" s="17" t="s">
        <v>282</v>
      </c>
      <c r="P81" s="240">
        <v>500227</v>
      </c>
      <c r="Q81" s="240">
        <v>500135</v>
      </c>
      <c r="R81" s="240">
        <v>502448</v>
      </c>
      <c r="S81" s="240">
        <v>512131</v>
      </c>
      <c r="T81" s="242">
        <v>533638</v>
      </c>
      <c r="U81" s="242">
        <v>509820</v>
      </c>
      <c r="V81" s="1">
        <v>500148</v>
      </c>
      <c r="W81" s="1">
        <v>524051</v>
      </c>
      <c r="X81" s="1"/>
      <c r="Y81" s="1"/>
      <c r="Z81" s="1"/>
      <c r="AA81" s="1"/>
      <c r="AB81" s="1"/>
      <c r="AC81" s="1"/>
      <c r="AD81" s="17" t="s">
        <v>282</v>
      </c>
      <c r="AE81" s="240">
        <v>500227</v>
      </c>
      <c r="AF81" s="242" t="s">
        <v>1119</v>
      </c>
      <c r="AG81" s="240">
        <v>500227</v>
      </c>
      <c r="AJ81" s="17" t="s">
        <v>282</v>
      </c>
      <c r="AK81" s="240" t="str">
        <f t="shared" si="30"/>
        <v>Jindal Poly Film</v>
      </c>
      <c r="AL81" s="240" t="str">
        <f t="shared" si="31"/>
        <v>Essel Propack</v>
      </c>
      <c r="AM81" s="240" t="str">
        <f t="shared" si="32"/>
        <v>Rollatainers</v>
      </c>
      <c r="AN81" s="240" t="str">
        <f t="shared" si="33"/>
        <v>Signet Indus.</v>
      </c>
      <c r="AO81" s="240" t="str">
        <f t="shared" si="34"/>
        <v>Flexituff Intl.</v>
      </c>
      <c r="AP81" s="240" t="str">
        <f t="shared" si="35"/>
        <v>Huhtamaki PPL</v>
      </c>
      <c r="AQ81" s="240" t="str">
        <f t="shared" si="36"/>
        <v>Uflex</v>
      </c>
      <c r="AR81" s="240" t="str">
        <f t="shared" si="37"/>
        <v>Polyplex Corpn</v>
      </c>
      <c r="AS81" s="240" t="str">
        <f t="shared" si="38"/>
        <v/>
      </c>
      <c r="AT81" s="240" t="str">
        <f t="shared" si="39"/>
        <v/>
      </c>
      <c r="AU81" s="240" t="str">
        <f t="shared" si="40"/>
        <v/>
      </c>
      <c r="AV81" s="240" t="str">
        <f t="shared" si="41"/>
        <v/>
      </c>
      <c r="AW81" s="240" t="str">
        <f t="shared" si="42"/>
        <v/>
      </c>
      <c r="AX81" s="240" t="str">
        <f t="shared" si="43"/>
        <v/>
      </c>
      <c r="AY81" s="240" t="str">
        <f t="shared" si="44"/>
        <v/>
      </c>
    </row>
    <row r="82" spans="1:51">
      <c r="A82" s="17" t="s">
        <v>504</v>
      </c>
      <c r="B82" s="242" t="s">
        <v>552</v>
      </c>
      <c r="C82" s="242" t="s">
        <v>553</v>
      </c>
      <c r="D82" s="242" t="s">
        <v>554</v>
      </c>
      <c r="E82" s="242"/>
      <c r="F82" s="242"/>
      <c r="G82" s="242"/>
      <c r="H82" s="242"/>
      <c r="I82" s="242"/>
      <c r="J82" s="242"/>
      <c r="K82" s="242"/>
      <c r="L82" s="242"/>
      <c r="M82" s="242"/>
      <c r="N82" s="242"/>
      <c r="O82" s="17" t="s">
        <v>504</v>
      </c>
      <c r="P82" s="240">
        <v>500790</v>
      </c>
      <c r="Q82" s="1">
        <v>500676</v>
      </c>
      <c r="R82" s="1">
        <v>500825</v>
      </c>
      <c r="S82" s="1"/>
      <c r="T82" s="1"/>
      <c r="U82" s="1"/>
      <c r="V82" s="1"/>
      <c r="W82" s="1"/>
      <c r="X82" s="1"/>
      <c r="Y82" s="1"/>
      <c r="Z82" s="1"/>
      <c r="AA82" s="1"/>
      <c r="AB82" s="1"/>
      <c r="AC82" s="1"/>
      <c r="AD82" s="17" t="s">
        <v>504</v>
      </c>
      <c r="AE82" s="240">
        <v>500790</v>
      </c>
      <c r="AF82" s="242" t="s">
        <v>552</v>
      </c>
      <c r="AG82" s="240">
        <v>500790</v>
      </c>
      <c r="AJ82" s="17" t="s">
        <v>504</v>
      </c>
      <c r="AK82" s="240" t="str">
        <f t="shared" si="30"/>
        <v>Nestle India</v>
      </c>
      <c r="AL82" s="240" t="str">
        <f t="shared" si="31"/>
        <v>GlaxoSmith C H L</v>
      </c>
      <c r="AM82" s="240" t="str">
        <f t="shared" si="32"/>
        <v>Britannia Inds.</v>
      </c>
      <c r="AN82" s="240" t="str">
        <f t="shared" si="33"/>
        <v/>
      </c>
      <c r="AO82" s="240" t="str">
        <f t="shared" si="34"/>
        <v/>
      </c>
      <c r="AP82" s="240" t="str">
        <f t="shared" si="35"/>
        <v/>
      </c>
      <c r="AQ82" s="240" t="str">
        <f t="shared" si="36"/>
        <v/>
      </c>
      <c r="AR82" s="240" t="str">
        <f t="shared" si="37"/>
        <v/>
      </c>
      <c r="AS82" s="240" t="str">
        <f t="shared" si="38"/>
        <v/>
      </c>
      <c r="AT82" s="240" t="str">
        <f t="shared" si="39"/>
        <v/>
      </c>
      <c r="AU82" s="240" t="str">
        <f t="shared" si="40"/>
        <v/>
      </c>
      <c r="AV82" s="240" t="str">
        <f t="shared" si="41"/>
        <v/>
      </c>
      <c r="AW82" s="240" t="str">
        <f t="shared" si="42"/>
        <v/>
      </c>
      <c r="AX82" s="240" t="str">
        <f t="shared" si="43"/>
        <v/>
      </c>
      <c r="AY82" s="240" t="str">
        <f t="shared" si="44"/>
        <v/>
      </c>
    </row>
    <row r="83" spans="1:51">
      <c r="A83" s="17" t="s">
        <v>281</v>
      </c>
      <c r="B83" s="242" t="s">
        <v>555</v>
      </c>
      <c r="C83" s="242" t="s">
        <v>1126</v>
      </c>
      <c r="D83" s="242" t="s">
        <v>548</v>
      </c>
      <c r="E83" s="242" t="s">
        <v>1127</v>
      </c>
      <c r="F83" s="242" t="s">
        <v>1128</v>
      </c>
      <c r="G83" s="242"/>
      <c r="H83" s="242"/>
      <c r="I83" s="242"/>
      <c r="J83" s="242"/>
      <c r="K83" s="242"/>
      <c r="L83" s="242"/>
      <c r="M83" s="242"/>
      <c r="N83" s="242"/>
      <c r="O83" s="17" t="s">
        <v>281</v>
      </c>
      <c r="P83" s="240">
        <v>533155</v>
      </c>
      <c r="Q83" s="240">
        <v>531531</v>
      </c>
      <c r="R83" s="240">
        <v>531335</v>
      </c>
      <c r="S83" s="240">
        <v>530813</v>
      </c>
      <c r="T83" s="1">
        <v>512573</v>
      </c>
      <c r="U83" s="1"/>
      <c r="V83" s="1"/>
      <c r="W83" s="1"/>
      <c r="X83" s="1"/>
      <c r="Y83" s="1"/>
      <c r="Z83" s="1"/>
      <c r="AA83" s="1"/>
      <c r="AB83" s="1"/>
      <c r="AC83" s="1"/>
      <c r="AD83" s="17" t="s">
        <v>281</v>
      </c>
      <c r="AE83" s="240">
        <v>533155</v>
      </c>
      <c r="AF83" s="242" t="s">
        <v>555</v>
      </c>
      <c r="AG83" s="240">
        <v>533155</v>
      </c>
      <c r="AJ83" s="17" t="s">
        <v>281</v>
      </c>
      <c r="AK83" s="240" t="str">
        <f t="shared" si="30"/>
        <v>Jubilant Food.</v>
      </c>
      <c r="AL83" s="240" t="str">
        <f t="shared" si="31"/>
        <v>Hatsun AgroProd.</v>
      </c>
      <c r="AM83" s="240" t="str">
        <f t="shared" si="32"/>
        <v>Zydus Wellness</v>
      </c>
      <c r="AN83" s="240" t="str">
        <f t="shared" si="33"/>
        <v>KRBL</v>
      </c>
      <c r="AO83" s="240" t="str">
        <f t="shared" si="34"/>
        <v>Avanti Feeds</v>
      </c>
      <c r="AP83" s="240" t="str">
        <f t="shared" si="35"/>
        <v/>
      </c>
      <c r="AQ83" s="240" t="str">
        <f t="shared" si="36"/>
        <v/>
      </c>
      <c r="AR83" s="240" t="str">
        <f t="shared" si="37"/>
        <v/>
      </c>
      <c r="AS83" s="240" t="str">
        <f t="shared" si="38"/>
        <v/>
      </c>
      <c r="AT83" s="240" t="str">
        <f t="shared" si="39"/>
        <v/>
      </c>
      <c r="AU83" s="240" t="str">
        <f t="shared" si="40"/>
        <v/>
      </c>
      <c r="AV83" s="240" t="str">
        <f t="shared" si="41"/>
        <v/>
      </c>
      <c r="AW83" s="240" t="str">
        <f t="shared" si="42"/>
        <v/>
      </c>
      <c r="AX83" s="240" t="str">
        <f t="shared" si="43"/>
        <v/>
      </c>
      <c r="AY83" s="240" t="str">
        <f t="shared" si="44"/>
        <v/>
      </c>
    </row>
    <row r="84" spans="1:51">
      <c r="A84" s="17" t="s">
        <v>264</v>
      </c>
      <c r="B84" s="242" t="s">
        <v>942</v>
      </c>
      <c r="C84" s="242" t="s">
        <v>550</v>
      </c>
      <c r="D84" s="242" t="s">
        <v>1129</v>
      </c>
      <c r="E84" s="242" t="s">
        <v>1130</v>
      </c>
      <c r="F84" s="242" t="s">
        <v>1131</v>
      </c>
      <c r="G84" s="242" t="s">
        <v>551</v>
      </c>
      <c r="H84" s="242" t="s">
        <v>1132</v>
      </c>
      <c r="I84" s="242"/>
      <c r="J84" s="242"/>
      <c r="K84" s="242"/>
      <c r="L84" s="242"/>
      <c r="M84" s="242"/>
      <c r="N84" s="242"/>
      <c r="O84" s="17" t="s">
        <v>264</v>
      </c>
      <c r="P84" s="240">
        <v>519552</v>
      </c>
      <c r="Q84" s="240">
        <v>532106</v>
      </c>
      <c r="R84" s="240">
        <v>534839</v>
      </c>
      <c r="S84" s="240">
        <v>531882</v>
      </c>
      <c r="T84" s="240">
        <v>532783</v>
      </c>
      <c r="U84" s="1">
        <v>519307</v>
      </c>
      <c r="V84" s="1">
        <v>532765</v>
      </c>
      <c r="W84" s="1"/>
      <c r="X84" s="1"/>
      <c r="Y84" s="1"/>
      <c r="Z84" s="1"/>
      <c r="AA84" s="1"/>
      <c r="AB84" s="1"/>
      <c r="AC84" s="1"/>
      <c r="AD84" s="17" t="s">
        <v>264</v>
      </c>
      <c r="AE84" s="240">
        <v>519552</v>
      </c>
      <c r="AF84" s="242" t="s">
        <v>942</v>
      </c>
      <c r="AG84" s="240">
        <v>519552</v>
      </c>
      <c r="AJ84" s="17" t="s">
        <v>264</v>
      </c>
      <c r="AK84" s="240" t="str">
        <f t="shared" si="30"/>
        <v>Heritage Foods</v>
      </c>
      <c r="AL84" s="240" t="str">
        <f t="shared" si="31"/>
        <v>REI Agro</v>
      </c>
      <c r="AM84" s="240" t="str">
        <f t="shared" si="32"/>
        <v>Eco Friendly</v>
      </c>
      <c r="AN84" s="240" t="str">
        <f t="shared" si="33"/>
        <v>Kwality</v>
      </c>
      <c r="AO84" s="240" t="str">
        <f t="shared" si="34"/>
        <v>L T Foods</v>
      </c>
      <c r="AP84" s="240" t="str">
        <f t="shared" si="35"/>
        <v>Vikas Wsp</v>
      </c>
      <c r="AQ84" s="240" t="str">
        <f t="shared" si="36"/>
        <v>Usher Agro</v>
      </c>
      <c r="AR84" s="240" t="str">
        <f t="shared" si="37"/>
        <v/>
      </c>
      <c r="AS84" s="240" t="str">
        <f t="shared" si="38"/>
        <v/>
      </c>
      <c r="AT84" s="240" t="str">
        <f t="shared" si="39"/>
        <v/>
      </c>
      <c r="AU84" s="240" t="str">
        <f t="shared" si="40"/>
        <v/>
      </c>
      <c r="AV84" s="240" t="str">
        <f t="shared" si="41"/>
        <v/>
      </c>
      <c r="AW84" s="240" t="str">
        <f t="shared" si="42"/>
        <v/>
      </c>
      <c r="AX84" s="240" t="str">
        <f t="shared" si="43"/>
        <v/>
      </c>
      <c r="AY84" s="240" t="str">
        <f t="shared" si="44"/>
        <v/>
      </c>
    </row>
    <row r="85" spans="1:51">
      <c r="A85" s="17" t="s">
        <v>280</v>
      </c>
      <c r="B85" s="242" t="s">
        <v>412</v>
      </c>
      <c r="C85" s="242" t="s">
        <v>413</v>
      </c>
      <c r="D85" s="242" t="s">
        <v>1133</v>
      </c>
      <c r="E85" s="242" t="s">
        <v>1134</v>
      </c>
      <c r="F85" s="242" t="s">
        <v>1135</v>
      </c>
      <c r="G85" s="242" t="s">
        <v>1136</v>
      </c>
      <c r="H85" s="242" t="s">
        <v>547</v>
      </c>
      <c r="I85" s="242" t="s">
        <v>1137</v>
      </c>
      <c r="J85" s="242" t="s">
        <v>1138</v>
      </c>
      <c r="K85" s="242"/>
      <c r="L85" s="242"/>
      <c r="M85" s="242"/>
      <c r="N85" s="242"/>
      <c r="O85" s="17" t="s">
        <v>280</v>
      </c>
      <c r="P85" s="240">
        <v>500215</v>
      </c>
      <c r="Q85" s="240">
        <v>500368</v>
      </c>
      <c r="R85" s="240">
        <v>524226</v>
      </c>
      <c r="S85" s="240">
        <v>519373</v>
      </c>
      <c r="T85" s="242">
        <v>519260</v>
      </c>
      <c r="U85" s="242">
        <v>532980</v>
      </c>
      <c r="V85" s="1">
        <v>531522</v>
      </c>
      <c r="W85" s="1">
        <v>519105</v>
      </c>
      <c r="X85" s="1">
        <v>509020</v>
      </c>
      <c r="Y85" s="1"/>
      <c r="Z85" s="1"/>
      <c r="AA85" s="1"/>
      <c r="AB85" s="1"/>
      <c r="AC85" s="1"/>
      <c r="AD85" s="17" t="s">
        <v>280</v>
      </c>
      <c r="AE85" s="240">
        <v>500215</v>
      </c>
      <c r="AF85" s="242" t="s">
        <v>412</v>
      </c>
      <c r="AG85" s="240">
        <v>500215</v>
      </c>
      <c r="AJ85" s="17" t="s">
        <v>280</v>
      </c>
      <c r="AK85" s="240" t="str">
        <f t="shared" si="30"/>
        <v>Agro Tech Foods.</v>
      </c>
      <c r="AL85" s="240" t="str">
        <f t="shared" si="31"/>
        <v>Ruchi Soya Inds.</v>
      </c>
      <c r="AM85" s="240" t="str">
        <f t="shared" si="32"/>
        <v>Guj. Ambuja Exp</v>
      </c>
      <c r="AN85" s="240" t="str">
        <f t="shared" si="33"/>
        <v>Vimal Oil Foods</v>
      </c>
      <c r="AO85" s="240" t="str">
        <f t="shared" si="34"/>
        <v>Sanwaria Agro</v>
      </c>
      <c r="AP85" s="240" t="str">
        <f t="shared" si="35"/>
        <v>Gokul Refoils</v>
      </c>
      <c r="AQ85" s="240" t="str">
        <f t="shared" si="36"/>
        <v>Rasoya Proteins</v>
      </c>
      <c r="AR85" s="240" t="str">
        <f t="shared" si="37"/>
        <v>AVT Natural Prod</v>
      </c>
      <c r="AS85" s="240" t="str">
        <f t="shared" si="38"/>
        <v>Ruchi Infrastr.</v>
      </c>
      <c r="AT85" s="240" t="str">
        <f t="shared" si="39"/>
        <v/>
      </c>
      <c r="AU85" s="240" t="str">
        <f t="shared" si="40"/>
        <v/>
      </c>
      <c r="AV85" s="240" t="str">
        <f t="shared" si="41"/>
        <v/>
      </c>
      <c r="AW85" s="240" t="str">
        <f t="shared" si="42"/>
        <v/>
      </c>
      <c r="AX85" s="240" t="str">
        <f t="shared" si="43"/>
        <v/>
      </c>
      <c r="AY85" s="240" t="str">
        <f t="shared" si="44"/>
        <v/>
      </c>
    </row>
    <row r="86" spans="1:51">
      <c r="A86" s="17" t="s">
        <v>261</v>
      </c>
      <c r="B86" s="242" t="s">
        <v>545</v>
      </c>
      <c r="C86" s="242" t="s">
        <v>546</v>
      </c>
      <c r="D86" s="242"/>
      <c r="E86" s="242"/>
      <c r="F86" s="242"/>
      <c r="G86" s="242"/>
      <c r="H86" s="242"/>
      <c r="I86" s="242"/>
      <c r="J86" s="242"/>
      <c r="K86" s="242"/>
      <c r="L86" s="242"/>
      <c r="M86" s="242"/>
      <c r="N86" s="242"/>
      <c r="O86" s="17" t="s">
        <v>261</v>
      </c>
      <c r="P86" s="240">
        <v>532155</v>
      </c>
      <c r="Q86" s="240">
        <v>532522</v>
      </c>
      <c r="R86" s="240"/>
      <c r="S86" s="240"/>
      <c r="T86" s="240"/>
      <c r="U86" s="240"/>
      <c r="V86" s="242"/>
      <c r="W86" s="242"/>
      <c r="X86" s="242"/>
      <c r="Y86" s="242"/>
      <c r="Z86" s="242"/>
      <c r="AA86" s="1"/>
      <c r="AB86" s="1"/>
      <c r="AC86" s="1"/>
      <c r="AD86" s="17" t="s">
        <v>261</v>
      </c>
      <c r="AE86" s="240">
        <v>532155</v>
      </c>
      <c r="AF86" s="242" t="s">
        <v>545</v>
      </c>
      <c r="AG86" s="240">
        <v>532155</v>
      </c>
      <c r="AJ86" s="17" t="s">
        <v>261</v>
      </c>
      <c r="AK86" s="240" t="str">
        <f t="shared" si="30"/>
        <v>GAIL (India)</v>
      </c>
      <c r="AL86" s="240" t="str">
        <f t="shared" si="31"/>
        <v>Petronet LNG</v>
      </c>
      <c r="AM86" s="240" t="str">
        <f t="shared" si="32"/>
        <v/>
      </c>
      <c r="AN86" s="240" t="str">
        <f t="shared" si="33"/>
        <v/>
      </c>
      <c r="AO86" s="240" t="str">
        <f t="shared" si="34"/>
        <v/>
      </c>
      <c r="AP86" s="240" t="str">
        <f t="shared" si="35"/>
        <v/>
      </c>
      <c r="AQ86" s="240" t="str">
        <f t="shared" si="36"/>
        <v/>
      </c>
      <c r="AR86" s="240" t="str">
        <f t="shared" si="37"/>
        <v/>
      </c>
      <c r="AS86" s="240" t="str">
        <f t="shared" si="38"/>
        <v/>
      </c>
      <c r="AT86" s="240" t="str">
        <f t="shared" si="39"/>
        <v/>
      </c>
      <c r="AU86" s="240" t="str">
        <f t="shared" si="40"/>
        <v/>
      </c>
      <c r="AV86" s="240" t="str">
        <f t="shared" si="41"/>
        <v/>
      </c>
      <c r="AW86" s="240" t="str">
        <f t="shared" si="42"/>
        <v/>
      </c>
      <c r="AX86" s="240" t="str">
        <f t="shared" si="43"/>
        <v/>
      </c>
      <c r="AY86" s="240" t="str">
        <f t="shared" si="44"/>
        <v/>
      </c>
    </row>
    <row r="87" spans="1:51">
      <c r="A87" s="17" t="s">
        <v>239</v>
      </c>
      <c r="B87" s="242" t="s">
        <v>542</v>
      </c>
      <c r="C87" s="242" t="s">
        <v>541</v>
      </c>
      <c r="D87" s="242" t="s">
        <v>543</v>
      </c>
      <c r="E87" s="242"/>
      <c r="F87" s="242"/>
      <c r="G87" s="242"/>
      <c r="H87" s="242"/>
      <c r="I87" s="242"/>
      <c r="J87" s="242"/>
      <c r="K87" s="242"/>
      <c r="L87" s="242"/>
      <c r="M87" s="242"/>
      <c r="N87" s="242"/>
      <c r="O87" s="17" t="s">
        <v>239</v>
      </c>
      <c r="P87" s="1">
        <v>523477</v>
      </c>
      <c r="Q87" s="241">
        <v>532514</v>
      </c>
      <c r="R87" s="240">
        <v>532702</v>
      </c>
      <c r="S87" s="240"/>
      <c r="T87" s="240"/>
      <c r="U87" s="1"/>
      <c r="V87" s="240"/>
      <c r="W87" s="240"/>
      <c r="X87" s="240"/>
      <c r="Y87" s="1"/>
      <c r="Z87" s="1"/>
      <c r="AA87" s="1"/>
      <c r="AB87" s="1"/>
      <c r="AC87" s="1"/>
      <c r="AD87" s="17" t="s">
        <v>239</v>
      </c>
      <c r="AE87" s="1">
        <v>523477</v>
      </c>
      <c r="AF87" s="242" t="s">
        <v>542</v>
      </c>
      <c r="AG87" s="1">
        <v>523477</v>
      </c>
      <c r="AJ87" s="17" t="s">
        <v>239</v>
      </c>
      <c r="AK87" s="240" t="str">
        <f t="shared" si="30"/>
        <v>Guj Gas Company</v>
      </c>
      <c r="AL87" s="240" t="str">
        <f t="shared" si="31"/>
        <v>Indraprastha Gas</v>
      </c>
      <c r="AM87" s="240" t="str">
        <f t="shared" si="32"/>
        <v>Guj.St.Petronet</v>
      </c>
      <c r="AN87" s="240" t="str">
        <f t="shared" si="33"/>
        <v/>
      </c>
      <c r="AO87" s="240" t="str">
        <f t="shared" si="34"/>
        <v/>
      </c>
      <c r="AP87" s="240" t="str">
        <f t="shared" si="35"/>
        <v/>
      </c>
      <c r="AQ87" s="240" t="str">
        <f t="shared" si="36"/>
        <v/>
      </c>
      <c r="AR87" s="240" t="str">
        <f t="shared" si="37"/>
        <v/>
      </c>
      <c r="AS87" s="240" t="str">
        <f t="shared" si="38"/>
        <v/>
      </c>
      <c r="AT87" s="240" t="str">
        <f t="shared" si="39"/>
        <v/>
      </c>
      <c r="AU87" s="240" t="str">
        <f t="shared" si="40"/>
        <v/>
      </c>
      <c r="AV87" s="240" t="str">
        <f t="shared" si="41"/>
        <v/>
      </c>
      <c r="AW87" s="240" t="str">
        <f t="shared" si="42"/>
        <v/>
      </c>
      <c r="AX87" s="240" t="str">
        <f t="shared" si="43"/>
        <v/>
      </c>
      <c r="AY87" s="240" t="str">
        <f t="shared" si="44"/>
        <v/>
      </c>
    </row>
    <row r="88" spans="1:51">
      <c r="A88" s="17" t="s">
        <v>237</v>
      </c>
      <c r="B88" s="242" t="s">
        <v>532</v>
      </c>
      <c r="C88" s="242" t="s">
        <v>544</v>
      </c>
      <c r="D88" s="242"/>
      <c r="E88" s="242"/>
      <c r="F88" s="242"/>
      <c r="G88" s="242"/>
      <c r="H88" s="242"/>
      <c r="I88" s="242"/>
      <c r="J88" s="242"/>
      <c r="K88" s="242"/>
      <c r="L88" s="242"/>
      <c r="M88" s="242"/>
      <c r="N88" s="242"/>
      <c r="O88" s="17" t="s">
        <v>237</v>
      </c>
      <c r="P88" s="240">
        <v>500173</v>
      </c>
      <c r="Q88" s="240">
        <v>523457</v>
      </c>
      <c r="R88" s="240"/>
      <c r="S88" s="240"/>
      <c r="T88" s="240"/>
      <c r="U88" s="240"/>
      <c r="V88" s="240"/>
      <c r="W88" s="240"/>
      <c r="X88" s="240"/>
      <c r="Y88" s="240"/>
      <c r="Z88" s="240"/>
      <c r="AA88" s="240"/>
      <c r="AB88" s="240"/>
      <c r="AC88" s="240"/>
      <c r="AD88" s="17" t="s">
        <v>237</v>
      </c>
      <c r="AE88" s="240">
        <v>500173</v>
      </c>
      <c r="AF88" s="242" t="s">
        <v>532</v>
      </c>
      <c r="AG88" s="240">
        <v>500173</v>
      </c>
      <c r="AJ88" s="17" t="s">
        <v>237</v>
      </c>
      <c r="AK88" s="240" t="str">
        <f t="shared" si="30"/>
        <v>Guj Fluorochem</v>
      </c>
      <c r="AL88" s="240" t="str">
        <f t="shared" si="31"/>
        <v>Linde India</v>
      </c>
      <c r="AM88" s="240" t="str">
        <f t="shared" si="32"/>
        <v/>
      </c>
      <c r="AN88" s="240" t="str">
        <f t="shared" si="33"/>
        <v/>
      </c>
      <c r="AO88" s="240" t="str">
        <f t="shared" si="34"/>
        <v/>
      </c>
      <c r="AP88" s="240" t="str">
        <f t="shared" si="35"/>
        <v/>
      </c>
      <c r="AQ88" s="240" t="str">
        <f t="shared" si="36"/>
        <v/>
      </c>
      <c r="AR88" s="240" t="str">
        <f t="shared" si="37"/>
        <v/>
      </c>
      <c r="AS88" s="240" t="str">
        <f t="shared" si="38"/>
        <v/>
      </c>
      <c r="AT88" s="240" t="str">
        <f t="shared" si="39"/>
        <v/>
      </c>
      <c r="AU88" s="240" t="str">
        <f t="shared" si="40"/>
        <v/>
      </c>
      <c r="AV88" s="240" t="str">
        <f t="shared" si="41"/>
        <v/>
      </c>
      <c r="AW88" s="240" t="str">
        <f t="shared" si="42"/>
        <v/>
      </c>
      <c r="AX88" s="240" t="str">
        <f t="shared" si="43"/>
        <v/>
      </c>
      <c r="AY88" s="240" t="str">
        <f t="shared" si="44"/>
        <v/>
      </c>
    </row>
    <row r="89" spans="1:51">
      <c r="A89" s="17" t="s">
        <v>260</v>
      </c>
      <c r="B89" s="242" t="s">
        <v>533</v>
      </c>
      <c r="C89" s="242" t="s">
        <v>534</v>
      </c>
      <c r="D89" s="242"/>
      <c r="E89" s="242"/>
      <c r="F89" s="242"/>
      <c r="G89" s="242"/>
      <c r="H89" s="242"/>
      <c r="I89" s="242"/>
      <c r="J89" s="242"/>
      <c r="K89" s="242"/>
      <c r="L89" s="242"/>
      <c r="M89" s="242"/>
      <c r="N89" s="242"/>
      <c r="O89" s="17" t="s">
        <v>260</v>
      </c>
      <c r="P89" s="240">
        <v>500850</v>
      </c>
      <c r="Q89" s="240">
        <v>500840</v>
      </c>
      <c r="R89" s="240"/>
      <c r="S89" s="240"/>
      <c r="T89" s="240"/>
      <c r="U89" s="240"/>
      <c r="V89" s="1"/>
      <c r="W89" s="1"/>
      <c r="X89" s="1"/>
      <c r="Y89" s="1"/>
      <c r="Z89" s="1"/>
      <c r="AA89" s="1"/>
      <c r="AB89" s="1"/>
      <c r="AC89" s="1"/>
      <c r="AD89" s="17" t="s">
        <v>260</v>
      </c>
      <c r="AE89" s="240">
        <v>500850</v>
      </c>
      <c r="AF89" s="242" t="s">
        <v>533</v>
      </c>
      <c r="AG89" s="240">
        <v>500850</v>
      </c>
      <c r="AJ89" s="17" t="s">
        <v>260</v>
      </c>
      <c r="AK89" s="240" t="str">
        <f t="shared" si="30"/>
        <v>Indian Hotels</v>
      </c>
      <c r="AL89" s="240" t="str">
        <f t="shared" si="31"/>
        <v>EIH</v>
      </c>
      <c r="AM89" s="240" t="str">
        <f t="shared" si="32"/>
        <v/>
      </c>
      <c r="AN89" s="240" t="str">
        <f t="shared" si="33"/>
        <v/>
      </c>
      <c r="AO89" s="240" t="str">
        <f t="shared" si="34"/>
        <v/>
      </c>
      <c r="AP89" s="240" t="str">
        <f t="shared" si="35"/>
        <v/>
      </c>
      <c r="AQ89" s="240" t="str">
        <f t="shared" si="36"/>
        <v/>
      </c>
      <c r="AR89" s="240" t="str">
        <f t="shared" si="37"/>
        <v/>
      </c>
      <c r="AS89" s="240" t="str">
        <f t="shared" si="38"/>
        <v/>
      </c>
      <c r="AT89" s="240" t="str">
        <f t="shared" si="39"/>
        <v/>
      </c>
      <c r="AU89" s="240" t="str">
        <f t="shared" si="40"/>
        <v/>
      </c>
      <c r="AV89" s="240" t="str">
        <f t="shared" si="41"/>
        <v/>
      </c>
      <c r="AW89" s="240" t="str">
        <f t="shared" si="42"/>
        <v/>
      </c>
      <c r="AX89" s="240" t="str">
        <f t="shared" si="43"/>
        <v/>
      </c>
      <c r="AY89" s="240" t="str">
        <f t="shared" si="44"/>
        <v/>
      </c>
    </row>
    <row r="90" spans="1:51">
      <c r="A90" s="17" t="s">
        <v>279</v>
      </c>
      <c r="B90" s="242" t="s">
        <v>535</v>
      </c>
      <c r="C90" s="242" t="s">
        <v>1139</v>
      </c>
      <c r="D90" s="242" t="s">
        <v>1140</v>
      </c>
      <c r="E90" s="242" t="s">
        <v>536</v>
      </c>
      <c r="F90" s="242" t="s">
        <v>983</v>
      </c>
      <c r="G90" s="242"/>
      <c r="H90" s="242"/>
      <c r="I90" s="242"/>
      <c r="J90" s="242"/>
      <c r="K90" s="242"/>
      <c r="L90" s="242"/>
      <c r="M90" s="242"/>
      <c r="N90" s="242"/>
      <c r="O90" s="17" t="s">
        <v>279</v>
      </c>
      <c r="P90" s="240">
        <v>533088</v>
      </c>
      <c r="Q90" s="240">
        <v>523363</v>
      </c>
      <c r="R90" s="240">
        <v>532189</v>
      </c>
      <c r="S90" s="240">
        <v>500193</v>
      </c>
      <c r="T90" s="1">
        <v>534425</v>
      </c>
      <c r="U90" s="1"/>
      <c r="V90" s="1"/>
      <c r="W90" s="1"/>
      <c r="X90" s="1"/>
      <c r="Y90" s="1"/>
      <c r="Z90" s="1"/>
      <c r="AA90" s="1"/>
      <c r="AB90" s="1"/>
      <c r="AC90" s="1"/>
      <c r="AD90" s="17" t="s">
        <v>279</v>
      </c>
      <c r="AE90" s="240">
        <v>533088</v>
      </c>
      <c r="AF90" s="242" t="s">
        <v>535</v>
      </c>
      <c r="AG90" s="240">
        <v>533088</v>
      </c>
      <c r="AJ90" s="17" t="s">
        <v>279</v>
      </c>
      <c r="AK90" s="240" t="str">
        <f t="shared" si="30"/>
        <v>Mahindra Holiday</v>
      </c>
      <c r="AL90" s="240" t="str">
        <f t="shared" si="31"/>
        <v>Ster. Holid. Res</v>
      </c>
      <c r="AM90" s="240" t="str">
        <f t="shared" si="32"/>
        <v>I T D C</v>
      </c>
      <c r="AN90" s="240" t="str">
        <f t="shared" si="33"/>
        <v>Hotel Leela Ven.</v>
      </c>
      <c r="AO90" s="240" t="str">
        <f t="shared" si="34"/>
        <v>Speciality Rest.</v>
      </c>
      <c r="AP90" s="240" t="str">
        <f t="shared" si="35"/>
        <v/>
      </c>
      <c r="AQ90" s="240" t="str">
        <f t="shared" si="36"/>
        <v/>
      </c>
      <c r="AR90" s="240" t="str">
        <f t="shared" si="37"/>
        <v/>
      </c>
      <c r="AS90" s="240" t="str">
        <f t="shared" si="38"/>
        <v/>
      </c>
      <c r="AT90" s="240" t="str">
        <f t="shared" si="39"/>
        <v/>
      </c>
      <c r="AU90" s="240" t="str">
        <f t="shared" si="40"/>
        <v/>
      </c>
      <c r="AV90" s="240" t="str">
        <f t="shared" si="41"/>
        <v/>
      </c>
      <c r="AW90" s="240" t="str">
        <f t="shared" si="42"/>
        <v/>
      </c>
      <c r="AX90" s="240" t="str">
        <f t="shared" si="43"/>
        <v/>
      </c>
      <c r="AY90" s="240" t="str">
        <f t="shared" si="44"/>
        <v/>
      </c>
    </row>
    <row r="91" spans="1:51">
      <c r="A91" s="17" t="s">
        <v>307</v>
      </c>
      <c r="B91" s="242" t="s">
        <v>540</v>
      </c>
      <c r="C91" s="242" t="s">
        <v>1141</v>
      </c>
      <c r="D91" s="242" t="s">
        <v>1142</v>
      </c>
      <c r="E91" s="242" t="s">
        <v>1143</v>
      </c>
      <c r="F91" s="242"/>
      <c r="G91" s="242"/>
      <c r="H91" s="242"/>
      <c r="I91" s="242"/>
      <c r="J91" s="242"/>
      <c r="K91" s="242"/>
      <c r="L91" s="242"/>
      <c r="M91" s="242"/>
      <c r="N91" s="242"/>
      <c r="O91" s="17" t="s">
        <v>307</v>
      </c>
      <c r="P91" s="240">
        <v>515030</v>
      </c>
      <c r="Q91" s="240">
        <v>526947</v>
      </c>
      <c r="R91" s="240">
        <v>515145</v>
      </c>
      <c r="S91" s="1">
        <v>532949</v>
      </c>
      <c r="T91" s="1"/>
      <c r="U91" s="1"/>
      <c r="V91" s="1"/>
      <c r="W91" s="1"/>
      <c r="X91" s="1"/>
      <c r="Y91" s="1"/>
      <c r="Z91" s="1"/>
      <c r="AA91" s="1"/>
      <c r="AB91" s="1"/>
      <c r="AC91" s="1"/>
      <c r="AD91" s="17" t="s">
        <v>307</v>
      </c>
      <c r="AE91" s="240">
        <v>515030</v>
      </c>
      <c r="AF91" s="242" t="s">
        <v>540</v>
      </c>
      <c r="AG91" s="240">
        <v>515030</v>
      </c>
      <c r="AJ91" s="17" t="s">
        <v>307</v>
      </c>
      <c r="AK91" s="240" t="str">
        <f t="shared" si="30"/>
        <v>Asahi India Glas</v>
      </c>
      <c r="AL91" s="240" t="str">
        <f t="shared" si="31"/>
        <v>La Opala RG</v>
      </c>
      <c r="AM91" s="240" t="str">
        <f t="shared" si="32"/>
        <v>Hind.Natl.Glass</v>
      </c>
      <c r="AN91" s="240" t="str">
        <f t="shared" si="33"/>
        <v>Piramal Glass</v>
      </c>
      <c r="AO91" s="240" t="str">
        <f t="shared" si="34"/>
        <v/>
      </c>
      <c r="AP91" s="240" t="str">
        <f t="shared" si="35"/>
        <v/>
      </c>
      <c r="AQ91" s="240" t="str">
        <f t="shared" si="36"/>
        <v/>
      </c>
      <c r="AR91" s="240" t="str">
        <f t="shared" si="37"/>
        <v/>
      </c>
      <c r="AS91" s="240" t="str">
        <f t="shared" si="38"/>
        <v/>
      </c>
      <c r="AT91" s="240" t="str">
        <f t="shared" si="39"/>
        <v/>
      </c>
      <c r="AU91" s="240" t="str">
        <f t="shared" si="40"/>
        <v/>
      </c>
      <c r="AV91" s="240" t="str">
        <f t="shared" si="41"/>
        <v/>
      </c>
      <c r="AW91" s="240" t="str">
        <f t="shared" si="42"/>
        <v/>
      </c>
      <c r="AX91" s="240" t="str">
        <f t="shared" si="43"/>
        <v/>
      </c>
      <c r="AY91" s="240" t="str">
        <f t="shared" si="44"/>
        <v/>
      </c>
    </row>
    <row r="92" spans="1:51">
      <c r="A92" s="17" t="s">
        <v>278</v>
      </c>
      <c r="B92" s="242" t="s">
        <v>538</v>
      </c>
      <c r="C92" s="242" t="s">
        <v>537</v>
      </c>
      <c r="D92" s="242"/>
      <c r="E92" s="242"/>
      <c r="F92" s="242"/>
      <c r="G92" s="242"/>
      <c r="H92" s="242"/>
      <c r="I92" s="242"/>
      <c r="J92" s="242"/>
      <c r="K92" s="242"/>
      <c r="L92" s="242"/>
      <c r="M92" s="242"/>
      <c r="N92" s="242"/>
      <c r="O92" s="17" t="s">
        <v>278</v>
      </c>
      <c r="P92" s="240">
        <v>508869</v>
      </c>
      <c r="Q92" s="240">
        <v>532843</v>
      </c>
      <c r="R92" s="240"/>
      <c r="S92" s="240"/>
      <c r="T92" s="242"/>
      <c r="U92" s="242"/>
      <c r="V92" s="1"/>
      <c r="W92" s="1"/>
      <c r="X92" s="1"/>
      <c r="Y92" s="1"/>
      <c r="Z92" s="1"/>
      <c r="AA92" s="1"/>
      <c r="AB92" s="1"/>
      <c r="AC92" s="1"/>
      <c r="AD92" s="17" t="s">
        <v>278</v>
      </c>
      <c r="AE92" s="240">
        <v>508869</v>
      </c>
      <c r="AF92" s="242" t="s">
        <v>538</v>
      </c>
      <c r="AG92" s="240">
        <v>508869</v>
      </c>
      <c r="AJ92" s="17" t="s">
        <v>278</v>
      </c>
      <c r="AK92" s="240" t="str">
        <f t="shared" si="30"/>
        <v>Apollo Hospitals</v>
      </c>
      <c r="AL92" s="240" t="str">
        <f t="shared" si="31"/>
        <v>Fortis Health.</v>
      </c>
      <c r="AM92" s="240" t="str">
        <f t="shared" si="32"/>
        <v/>
      </c>
      <c r="AN92" s="240" t="str">
        <f t="shared" si="33"/>
        <v/>
      </c>
      <c r="AO92" s="240" t="str">
        <f t="shared" si="34"/>
        <v/>
      </c>
      <c r="AP92" s="240" t="str">
        <f t="shared" si="35"/>
        <v/>
      </c>
      <c r="AQ92" s="240" t="str">
        <f t="shared" si="36"/>
        <v/>
      </c>
      <c r="AR92" s="240" t="str">
        <f t="shared" si="37"/>
        <v/>
      </c>
      <c r="AS92" s="240" t="str">
        <f t="shared" si="38"/>
        <v/>
      </c>
      <c r="AT92" s="240" t="str">
        <f t="shared" si="39"/>
        <v/>
      </c>
      <c r="AU92" s="240" t="str">
        <f t="shared" si="40"/>
        <v/>
      </c>
      <c r="AV92" s="240" t="str">
        <f t="shared" si="41"/>
        <v/>
      </c>
      <c r="AW92" s="240" t="str">
        <f t="shared" si="42"/>
        <v/>
      </c>
      <c r="AX92" s="240" t="str">
        <f t="shared" si="43"/>
        <v/>
      </c>
      <c r="AY92" s="240" t="str">
        <f t="shared" si="44"/>
        <v/>
      </c>
    </row>
    <row r="93" spans="1:51">
      <c r="A93" s="17" t="s">
        <v>306</v>
      </c>
      <c r="B93" s="242" t="s">
        <v>1144</v>
      </c>
      <c r="C93" s="242" t="s">
        <v>528</v>
      </c>
      <c r="D93" s="242"/>
      <c r="E93" s="242"/>
      <c r="F93" s="242"/>
      <c r="G93" s="242"/>
      <c r="H93" s="242"/>
      <c r="I93" s="242"/>
      <c r="J93" s="242"/>
      <c r="K93" s="242"/>
      <c r="L93" s="242"/>
      <c r="M93" s="242"/>
      <c r="N93" s="242"/>
      <c r="O93" s="17" t="s">
        <v>306</v>
      </c>
      <c r="P93" s="240">
        <v>531768</v>
      </c>
      <c r="Q93" s="240">
        <v>532391</v>
      </c>
      <c r="R93" s="240"/>
      <c r="S93" s="1"/>
      <c r="T93" s="1"/>
      <c r="U93" s="1"/>
      <c r="V93" s="1"/>
      <c r="W93" s="1"/>
      <c r="X93" s="1"/>
      <c r="Y93" s="1"/>
      <c r="Z93" s="1"/>
      <c r="AA93" s="1"/>
      <c r="AB93" s="1"/>
      <c r="AC93" s="1"/>
      <c r="AD93" s="17" t="s">
        <v>306</v>
      </c>
      <c r="AE93" s="240">
        <v>531768</v>
      </c>
      <c r="AF93" s="242" t="s">
        <v>1144</v>
      </c>
      <c r="AG93" s="240">
        <v>531768</v>
      </c>
      <c r="AJ93" s="17" t="s">
        <v>306</v>
      </c>
      <c r="AK93" s="240" t="str">
        <f t="shared" si="30"/>
        <v>Poly Medicure</v>
      </c>
      <c r="AL93" s="240" t="str">
        <f t="shared" si="31"/>
        <v>Opto Circuits</v>
      </c>
      <c r="AM93" s="240" t="str">
        <f t="shared" si="32"/>
        <v/>
      </c>
      <c r="AN93" s="240" t="str">
        <f t="shared" si="33"/>
        <v/>
      </c>
      <c r="AO93" s="240" t="str">
        <f t="shared" si="34"/>
        <v/>
      </c>
      <c r="AP93" s="240" t="str">
        <f t="shared" si="35"/>
        <v/>
      </c>
      <c r="AQ93" s="240" t="str">
        <f t="shared" si="36"/>
        <v/>
      </c>
      <c r="AR93" s="240" t="str">
        <f t="shared" si="37"/>
        <v/>
      </c>
      <c r="AS93" s="240" t="str">
        <f t="shared" si="38"/>
        <v/>
      </c>
      <c r="AT93" s="240" t="str">
        <f t="shared" si="39"/>
        <v/>
      </c>
      <c r="AU93" s="240" t="str">
        <f t="shared" si="40"/>
        <v/>
      </c>
      <c r="AV93" s="240" t="str">
        <f t="shared" si="41"/>
        <v/>
      </c>
      <c r="AW93" s="240" t="str">
        <f t="shared" si="42"/>
        <v/>
      </c>
      <c r="AX93" s="240" t="str">
        <f t="shared" si="43"/>
        <v/>
      </c>
      <c r="AY93" s="240" t="str">
        <f t="shared" si="44"/>
        <v/>
      </c>
    </row>
    <row r="94" spans="1:51">
      <c r="A94" s="17" t="s">
        <v>263</v>
      </c>
      <c r="B94" s="242" t="s">
        <v>529</v>
      </c>
      <c r="C94" s="242"/>
      <c r="D94" s="242"/>
      <c r="E94" s="242"/>
      <c r="F94" s="242"/>
      <c r="G94" s="242"/>
      <c r="H94" s="242"/>
      <c r="I94" s="242"/>
      <c r="J94" s="242"/>
      <c r="K94" s="242"/>
      <c r="L94" s="242"/>
      <c r="M94" s="242"/>
      <c r="N94" s="242"/>
      <c r="O94" s="17" t="s">
        <v>263</v>
      </c>
      <c r="P94" s="240">
        <v>500870</v>
      </c>
      <c r="Q94" s="240"/>
      <c r="R94" s="240"/>
      <c r="S94" s="240"/>
      <c r="T94" s="240"/>
      <c r="U94" s="1"/>
      <c r="V94" s="1"/>
      <c r="W94" s="1"/>
      <c r="X94" s="1"/>
      <c r="Y94" s="1"/>
      <c r="Z94" s="1"/>
      <c r="AA94" s="1"/>
      <c r="AB94" s="1"/>
      <c r="AC94" s="1"/>
      <c r="AD94" s="17" t="s">
        <v>263</v>
      </c>
      <c r="AE94" s="240">
        <v>500870</v>
      </c>
      <c r="AF94" s="242" t="s">
        <v>529</v>
      </c>
      <c r="AG94" s="240">
        <v>500870</v>
      </c>
      <c r="AJ94" s="17" t="s">
        <v>263</v>
      </c>
      <c r="AK94" s="240" t="str">
        <f t="shared" si="30"/>
        <v>Castrol India</v>
      </c>
      <c r="AL94" s="240" t="str">
        <f t="shared" si="31"/>
        <v/>
      </c>
      <c r="AM94" s="240" t="str">
        <f t="shared" si="32"/>
        <v/>
      </c>
      <c r="AN94" s="240" t="str">
        <f t="shared" si="33"/>
        <v/>
      </c>
      <c r="AO94" s="240" t="str">
        <f t="shared" si="34"/>
        <v/>
      </c>
      <c r="AP94" s="240" t="str">
        <f t="shared" si="35"/>
        <v/>
      </c>
      <c r="AQ94" s="240" t="str">
        <f t="shared" si="36"/>
        <v/>
      </c>
      <c r="AR94" s="240" t="str">
        <f t="shared" si="37"/>
        <v/>
      </c>
      <c r="AS94" s="240" t="str">
        <f t="shared" si="38"/>
        <v/>
      </c>
      <c r="AT94" s="240" t="str">
        <f t="shared" si="39"/>
        <v/>
      </c>
      <c r="AU94" s="240" t="str">
        <f t="shared" si="40"/>
        <v/>
      </c>
      <c r="AV94" s="240" t="str">
        <f t="shared" si="41"/>
        <v/>
      </c>
      <c r="AW94" s="240" t="str">
        <f t="shared" si="42"/>
        <v/>
      </c>
      <c r="AX94" s="240" t="str">
        <f t="shared" si="43"/>
        <v/>
      </c>
      <c r="AY94" s="240" t="str">
        <f t="shared" si="44"/>
        <v/>
      </c>
    </row>
    <row r="95" spans="1:51">
      <c r="A95" s="17" t="s">
        <v>241</v>
      </c>
      <c r="B95" s="242" t="s">
        <v>1145</v>
      </c>
      <c r="C95" s="242" t="s">
        <v>1146</v>
      </c>
      <c r="D95" s="242" t="s">
        <v>530</v>
      </c>
      <c r="E95" s="242"/>
      <c r="F95" s="242"/>
      <c r="G95" s="242"/>
      <c r="H95" s="242"/>
      <c r="I95" s="242"/>
      <c r="J95" s="242"/>
      <c r="K95" s="242"/>
      <c r="L95" s="242"/>
      <c r="M95" s="242"/>
      <c r="N95" s="242"/>
      <c r="O95" s="17" t="s">
        <v>241</v>
      </c>
      <c r="P95" s="240">
        <v>538567</v>
      </c>
      <c r="Q95" s="240">
        <v>590005</v>
      </c>
      <c r="R95" s="240">
        <v>506480</v>
      </c>
      <c r="S95" s="240"/>
      <c r="T95" s="240"/>
      <c r="U95" s="240"/>
      <c r="V95" s="240"/>
      <c r="W95" s="240"/>
      <c r="X95" s="1"/>
      <c r="Y95" s="1"/>
      <c r="Z95" s="1"/>
      <c r="AA95" s="1"/>
      <c r="AB95" s="1"/>
      <c r="AC95" s="1"/>
      <c r="AD95" s="17" t="s">
        <v>241</v>
      </c>
      <c r="AE95" s="240">
        <v>538567</v>
      </c>
      <c r="AF95" s="242" t="s">
        <v>1145</v>
      </c>
      <c r="AG95" s="240">
        <v>538567</v>
      </c>
      <c r="AJ95" s="17" t="s">
        <v>241</v>
      </c>
      <c r="AK95" s="240" t="str">
        <f t="shared" si="30"/>
        <v>Gulf Oil Lubrica</v>
      </c>
      <c r="AL95" s="240" t="str">
        <f t="shared" si="31"/>
        <v>Tide Water Oil</v>
      </c>
      <c r="AM95" s="240" t="str">
        <f t="shared" si="32"/>
        <v>Gulf Oil Corpn.</v>
      </c>
      <c r="AN95" s="240" t="str">
        <f t="shared" si="33"/>
        <v/>
      </c>
      <c r="AO95" s="240" t="str">
        <f t="shared" si="34"/>
        <v/>
      </c>
      <c r="AP95" s="240" t="str">
        <f t="shared" si="35"/>
        <v/>
      </c>
      <c r="AQ95" s="240" t="str">
        <f t="shared" si="36"/>
        <v/>
      </c>
      <c r="AR95" s="240" t="str">
        <f t="shared" si="37"/>
        <v/>
      </c>
      <c r="AS95" s="240" t="str">
        <f t="shared" si="38"/>
        <v/>
      </c>
      <c r="AT95" s="240" t="str">
        <f t="shared" si="39"/>
        <v/>
      </c>
      <c r="AU95" s="240" t="str">
        <f t="shared" si="40"/>
        <v/>
      </c>
      <c r="AV95" s="240" t="str">
        <f t="shared" si="41"/>
        <v/>
      </c>
      <c r="AW95" s="240" t="str">
        <f t="shared" si="42"/>
        <v/>
      </c>
      <c r="AX95" s="240" t="str">
        <f t="shared" si="43"/>
        <v/>
      </c>
      <c r="AY95" s="240" t="str">
        <f t="shared" si="44"/>
        <v/>
      </c>
    </row>
    <row r="96" spans="1:51">
      <c r="A96" s="17" t="s">
        <v>259</v>
      </c>
      <c r="B96" s="242" t="s">
        <v>526</v>
      </c>
      <c r="C96" s="242"/>
      <c r="D96" s="242"/>
      <c r="E96" s="242"/>
      <c r="F96" s="242"/>
      <c r="G96" s="242"/>
      <c r="H96" s="242"/>
      <c r="I96" s="242"/>
      <c r="J96" s="242"/>
      <c r="K96" s="242"/>
      <c r="L96" s="242"/>
      <c r="M96" s="242"/>
      <c r="N96" s="242"/>
      <c r="O96" s="17" t="s">
        <v>259</v>
      </c>
      <c r="P96" s="240">
        <v>513599</v>
      </c>
      <c r="Q96" s="240"/>
      <c r="R96" s="240"/>
      <c r="S96" s="240"/>
      <c r="T96" s="240"/>
      <c r="U96" s="240"/>
      <c r="V96" s="242"/>
      <c r="W96" s="1"/>
      <c r="X96" s="1"/>
      <c r="Y96" s="1"/>
      <c r="Z96" s="1"/>
      <c r="AA96" s="1"/>
      <c r="AB96" s="1"/>
      <c r="AC96" s="1"/>
      <c r="AD96" s="17" t="s">
        <v>259</v>
      </c>
      <c r="AE96" s="240">
        <v>513599</v>
      </c>
      <c r="AF96" s="242" t="s">
        <v>526</v>
      </c>
      <c r="AG96" s="240">
        <v>513599</v>
      </c>
      <c r="AJ96" s="17" t="s">
        <v>259</v>
      </c>
      <c r="AK96" s="240" t="str">
        <f t="shared" si="30"/>
        <v>Hind.Copper</v>
      </c>
      <c r="AL96" s="240" t="str">
        <f t="shared" si="31"/>
        <v/>
      </c>
      <c r="AM96" s="240" t="str">
        <f t="shared" si="32"/>
        <v/>
      </c>
      <c r="AN96" s="240" t="str">
        <f t="shared" si="33"/>
        <v/>
      </c>
      <c r="AO96" s="240" t="str">
        <f t="shared" si="34"/>
        <v/>
      </c>
      <c r="AP96" s="240" t="str">
        <f t="shared" si="35"/>
        <v/>
      </c>
      <c r="AQ96" s="240" t="str">
        <f t="shared" si="36"/>
        <v/>
      </c>
      <c r="AR96" s="240" t="str">
        <f t="shared" si="37"/>
        <v/>
      </c>
      <c r="AS96" s="240" t="str">
        <f t="shared" si="38"/>
        <v/>
      </c>
      <c r="AT96" s="240" t="str">
        <f t="shared" si="39"/>
        <v/>
      </c>
      <c r="AU96" s="240" t="str">
        <f t="shared" si="40"/>
        <v/>
      </c>
      <c r="AV96" s="240" t="str">
        <f t="shared" si="41"/>
        <v/>
      </c>
      <c r="AW96" s="240" t="str">
        <f t="shared" si="42"/>
        <v/>
      </c>
      <c r="AX96" s="240" t="str">
        <f t="shared" si="43"/>
        <v/>
      </c>
      <c r="AY96" s="240" t="str">
        <f t="shared" si="44"/>
        <v/>
      </c>
    </row>
    <row r="97" spans="1:52">
      <c r="A97" s="17" t="s">
        <v>305</v>
      </c>
      <c r="B97" s="242" t="s">
        <v>525</v>
      </c>
      <c r="C97" s="242"/>
      <c r="D97" s="242"/>
      <c r="E97" s="242"/>
      <c r="F97" s="242"/>
      <c r="G97" s="242"/>
      <c r="H97" s="242"/>
      <c r="I97" s="242"/>
      <c r="J97" s="242"/>
      <c r="K97" s="242"/>
      <c r="L97" s="242"/>
      <c r="M97" s="242"/>
      <c r="N97" s="242"/>
      <c r="O97" s="17" t="s">
        <v>305</v>
      </c>
      <c r="P97" s="240">
        <v>500188</v>
      </c>
      <c r="Q97" s="240"/>
      <c r="R97" s="240"/>
      <c r="S97" s="242"/>
      <c r="T97" s="242"/>
      <c r="U97" s="1"/>
      <c r="V97" s="1"/>
      <c r="W97" s="1"/>
      <c r="X97" s="1"/>
      <c r="Y97" s="1"/>
      <c r="Z97" s="1"/>
      <c r="AA97" s="1"/>
      <c r="AB97" s="1"/>
      <c r="AC97" s="1"/>
      <c r="AD97" s="17" t="s">
        <v>305</v>
      </c>
      <c r="AE97" s="240">
        <v>500188</v>
      </c>
      <c r="AF97" s="242" t="s">
        <v>525</v>
      </c>
      <c r="AG97" s="240">
        <v>500188</v>
      </c>
      <c r="AJ97" s="17" t="s">
        <v>305</v>
      </c>
      <c r="AK97" s="240" t="str">
        <f t="shared" si="30"/>
        <v>Hind.Zinc</v>
      </c>
      <c r="AL97" s="240" t="str">
        <f t="shared" si="31"/>
        <v/>
      </c>
      <c r="AM97" s="240" t="str">
        <f t="shared" si="32"/>
        <v/>
      </c>
      <c r="AN97" s="240" t="str">
        <f t="shared" si="33"/>
        <v/>
      </c>
      <c r="AO97" s="240" t="str">
        <f t="shared" si="34"/>
        <v/>
      </c>
      <c r="AP97" s="240" t="str">
        <f t="shared" si="35"/>
        <v/>
      </c>
      <c r="AQ97" s="240" t="str">
        <f t="shared" si="36"/>
        <v/>
      </c>
      <c r="AR97" s="240" t="str">
        <f t="shared" si="37"/>
        <v/>
      </c>
      <c r="AS97" s="240" t="str">
        <f t="shared" si="38"/>
        <v/>
      </c>
      <c r="AT97" s="240" t="str">
        <f t="shared" si="39"/>
        <v/>
      </c>
      <c r="AU97" s="240" t="str">
        <f t="shared" si="40"/>
        <v/>
      </c>
      <c r="AV97" s="240" t="str">
        <f t="shared" si="41"/>
        <v/>
      </c>
      <c r="AW97" s="240" t="str">
        <f t="shared" si="42"/>
        <v/>
      </c>
      <c r="AX97" s="240" t="str">
        <f t="shared" si="43"/>
        <v/>
      </c>
      <c r="AY97" s="240" t="str">
        <f t="shared" si="44"/>
        <v/>
      </c>
    </row>
    <row r="98" spans="1:52">
      <c r="A98" s="17" t="s">
        <v>304</v>
      </c>
      <c r="B98" s="242" t="s">
        <v>1147</v>
      </c>
      <c r="C98" s="242" t="s">
        <v>1148</v>
      </c>
      <c r="D98" s="242" t="s">
        <v>1149</v>
      </c>
      <c r="E98" s="242"/>
      <c r="F98" s="242"/>
      <c r="G98" s="242"/>
      <c r="H98" s="242"/>
      <c r="I98" s="242"/>
      <c r="J98" s="242"/>
      <c r="K98" s="242"/>
      <c r="L98" s="242"/>
      <c r="M98" s="242"/>
      <c r="N98" s="242"/>
      <c r="O98" s="17" t="s">
        <v>304</v>
      </c>
      <c r="P98" s="240">
        <v>532914</v>
      </c>
      <c r="Q98" s="240">
        <v>504966</v>
      </c>
      <c r="R98" s="240">
        <v>532932</v>
      </c>
      <c r="S98" s="1"/>
      <c r="T98" s="1"/>
      <c r="U98" s="1"/>
      <c r="V98" s="1"/>
      <c r="W98" s="1"/>
      <c r="X98" s="1"/>
      <c r="Y98" s="1"/>
      <c r="Z98" s="1"/>
      <c r="AA98" s="1"/>
      <c r="AB98" s="1"/>
      <c r="AC98" s="1"/>
      <c r="AD98" s="17" t="s">
        <v>304</v>
      </c>
      <c r="AE98" s="240">
        <v>532914</v>
      </c>
      <c r="AF98" s="242" t="s">
        <v>1147</v>
      </c>
      <c r="AG98" s="240">
        <v>532914</v>
      </c>
      <c r="AJ98" s="17" t="s">
        <v>304</v>
      </c>
      <c r="AK98" s="240" t="str">
        <f t="shared" ref="AK98:AK134" si="45">IFERROR(VLOOKUP(P98,$AE$2:$AF$691,2,FALSE),"")</f>
        <v>Arcotech Ltd</v>
      </c>
      <c r="AL98" s="240" t="str">
        <f t="shared" ref="AL98:AL134" si="46">IFERROR(VLOOKUP(Q98,$AE$2:$AF$691,2,FALSE),"")</f>
        <v>Tinplate Co.</v>
      </c>
      <c r="AM98" s="240" t="str">
        <f t="shared" ref="AM98:AM134" si="47">IFERROR(VLOOKUP(R98,$AE$2:$AF$691,2,FALSE),"")</f>
        <v>Manaksia</v>
      </c>
      <c r="AN98" s="240" t="str">
        <f t="shared" ref="AN98:AN134" si="48">IFERROR(VLOOKUP(S98,$AE$2:$AF$691,2,FALSE),"")</f>
        <v/>
      </c>
      <c r="AO98" s="240" t="str">
        <f t="shared" ref="AO98:AO134" si="49">IFERROR(VLOOKUP(T98,$AE$2:$AF$691,2,FALSE),"")</f>
        <v/>
      </c>
      <c r="AP98" s="240" t="str">
        <f t="shared" ref="AP98:AP134" si="50">IFERROR(VLOOKUP(U98,$AE$2:$AF$691,2,FALSE),"")</f>
        <v/>
      </c>
      <c r="AQ98" s="240" t="str">
        <f t="shared" ref="AQ98:AQ134" si="51">IFERROR(VLOOKUP(V98,$AE$2:$AF$691,2,FALSE),"")</f>
        <v/>
      </c>
      <c r="AR98" s="240" t="str">
        <f t="shared" ref="AR98:AR134" si="52">IFERROR(VLOOKUP(W98,$AE$2:$AF$691,2,FALSE),"")</f>
        <v/>
      </c>
      <c r="AS98" s="240" t="str">
        <f t="shared" ref="AS98:AS134" si="53">IFERROR(VLOOKUP(X98,$AE$2:$AF$691,2,FALSE),"")</f>
        <v/>
      </c>
      <c r="AT98" s="240" t="str">
        <f t="shared" ref="AT98:AT134" si="54">IFERROR(VLOOKUP(Y98,$AE$2:$AF$691,2,FALSE),"")</f>
        <v/>
      </c>
      <c r="AU98" s="240" t="str">
        <f t="shared" ref="AU98:AU134" si="55">IFERROR(VLOOKUP(Z98,$AE$2:$AF$691,2,FALSE),"")</f>
        <v/>
      </c>
      <c r="AV98" s="240" t="str">
        <f t="shared" ref="AV98:AV134" si="56">IFERROR(VLOOKUP(AA98,$AE$2:$AF$691,2,FALSE),"")</f>
        <v/>
      </c>
      <c r="AW98" s="240" t="str">
        <f t="shared" ref="AW98:AW134" si="57">IFERROR(VLOOKUP(AB98,$AE$2:$AF$691,2,FALSE),"")</f>
        <v/>
      </c>
      <c r="AX98" s="240" t="str">
        <f t="shared" ref="AX98:AX134" si="58">IFERROR(VLOOKUP(AC98,$AE$2:$AF$691,2,FALSE),"")</f>
        <v/>
      </c>
      <c r="AY98" s="240" t="str">
        <f t="shared" ref="AY98:AY134" si="59">IFERROR(VLOOKUP(AD98,$AE$2:$AF$691,2,FALSE),"")</f>
        <v/>
      </c>
    </row>
    <row r="99" spans="1:52">
      <c r="A99" s="17" t="s">
        <v>277</v>
      </c>
      <c r="B99" s="242" t="s">
        <v>520</v>
      </c>
      <c r="C99" s="242" t="s">
        <v>521</v>
      </c>
      <c r="D99" s="242" t="s">
        <v>522</v>
      </c>
      <c r="E99" s="242"/>
      <c r="F99" s="242"/>
      <c r="G99" s="242"/>
      <c r="H99" s="242"/>
      <c r="I99" s="242"/>
      <c r="J99" s="242"/>
      <c r="K99" s="242"/>
      <c r="L99" s="242"/>
      <c r="M99" s="242"/>
      <c r="N99" s="242"/>
      <c r="O99" s="17" t="s">
        <v>277</v>
      </c>
      <c r="P99" s="240">
        <v>533278</v>
      </c>
      <c r="Q99" s="240">
        <v>500295</v>
      </c>
      <c r="R99" s="240">
        <v>526371</v>
      </c>
      <c r="S99" s="240"/>
      <c r="T99" s="1"/>
      <c r="U99" s="1"/>
      <c r="V99" s="1"/>
      <c r="W99" s="1"/>
      <c r="X99" s="1"/>
      <c r="Y99" s="1"/>
      <c r="Z99" s="1"/>
      <c r="AA99" s="1"/>
      <c r="AB99" s="1"/>
      <c r="AC99" s="1"/>
      <c r="AD99" s="17" t="s">
        <v>277</v>
      </c>
      <c r="AE99" s="240">
        <v>533278</v>
      </c>
      <c r="AF99" s="242" t="s">
        <v>520</v>
      </c>
      <c r="AG99" s="240">
        <v>533278</v>
      </c>
      <c r="AJ99" s="17" t="s">
        <v>277</v>
      </c>
      <c r="AK99" s="240" t="str">
        <f t="shared" si="45"/>
        <v>Coal India</v>
      </c>
      <c r="AL99" s="240" t="str">
        <f t="shared" si="46"/>
        <v>Sesa Sterlite</v>
      </c>
      <c r="AM99" s="240" t="str">
        <f t="shared" si="47"/>
        <v>NMDC</v>
      </c>
      <c r="AN99" s="240" t="str">
        <f t="shared" si="48"/>
        <v/>
      </c>
      <c r="AO99" s="240" t="str">
        <f t="shared" si="49"/>
        <v/>
      </c>
      <c r="AP99" s="240" t="str">
        <f t="shared" si="50"/>
        <v/>
      </c>
      <c r="AQ99" s="240" t="str">
        <f t="shared" si="51"/>
        <v/>
      </c>
      <c r="AR99" s="240" t="str">
        <f t="shared" si="52"/>
        <v/>
      </c>
      <c r="AS99" s="240" t="str">
        <f t="shared" si="53"/>
        <v/>
      </c>
      <c r="AT99" s="240" t="str">
        <f t="shared" si="54"/>
        <v/>
      </c>
      <c r="AU99" s="240" t="str">
        <f t="shared" si="55"/>
        <v/>
      </c>
      <c r="AV99" s="240" t="str">
        <f t="shared" si="56"/>
        <v/>
      </c>
      <c r="AW99" s="240" t="str">
        <f t="shared" si="57"/>
        <v/>
      </c>
      <c r="AX99" s="240" t="str">
        <f t="shared" si="58"/>
        <v/>
      </c>
      <c r="AY99" s="240" t="str">
        <f t="shared" si="59"/>
        <v/>
      </c>
    </row>
    <row r="100" spans="1:52">
      <c r="A100" s="17" t="s">
        <v>330</v>
      </c>
      <c r="B100" s="242" t="s">
        <v>523</v>
      </c>
      <c r="C100" s="242" t="s">
        <v>524</v>
      </c>
      <c r="D100" s="242"/>
      <c r="E100" s="242"/>
      <c r="F100" s="242"/>
      <c r="G100" s="242"/>
      <c r="H100" s="242"/>
      <c r="I100" s="242"/>
      <c r="J100" s="242"/>
      <c r="K100" s="242"/>
      <c r="L100" s="242"/>
      <c r="M100" s="242"/>
      <c r="N100" s="242"/>
      <c r="O100" s="17" t="s">
        <v>330</v>
      </c>
      <c r="P100" s="240">
        <v>533286</v>
      </c>
      <c r="Q100" s="240">
        <v>532181</v>
      </c>
      <c r="R100" s="1"/>
      <c r="S100" s="1"/>
      <c r="T100" s="1"/>
      <c r="U100" s="1"/>
      <c r="V100" s="1"/>
      <c r="W100" s="1"/>
      <c r="X100" s="1"/>
      <c r="Y100" s="1"/>
      <c r="Z100" s="1"/>
      <c r="AA100" s="1"/>
      <c r="AB100" s="1"/>
      <c r="AC100" s="1"/>
      <c r="AD100" s="17" t="s">
        <v>330</v>
      </c>
      <c r="AE100" s="240">
        <v>533286</v>
      </c>
      <c r="AF100" s="242" t="s">
        <v>523</v>
      </c>
      <c r="AG100" s="240">
        <v>533286</v>
      </c>
      <c r="AJ100" s="17" t="s">
        <v>330</v>
      </c>
      <c r="AK100" s="240" t="str">
        <f t="shared" si="45"/>
        <v>MOIL</v>
      </c>
      <c r="AL100" s="240" t="str">
        <f t="shared" si="46"/>
        <v>G M D C</v>
      </c>
      <c r="AM100" s="240" t="str">
        <f t="shared" si="47"/>
        <v/>
      </c>
      <c r="AN100" s="240" t="str">
        <f t="shared" si="48"/>
        <v/>
      </c>
      <c r="AO100" s="240" t="str">
        <f t="shared" si="49"/>
        <v/>
      </c>
      <c r="AP100" s="240" t="str">
        <f t="shared" si="50"/>
        <v/>
      </c>
      <c r="AQ100" s="240" t="str">
        <f t="shared" si="51"/>
        <v/>
      </c>
      <c r="AR100" s="240" t="str">
        <f t="shared" si="52"/>
        <v/>
      </c>
      <c r="AS100" s="240" t="str">
        <f t="shared" si="53"/>
        <v/>
      </c>
      <c r="AT100" s="240" t="str">
        <f t="shared" si="54"/>
        <v/>
      </c>
      <c r="AU100" s="240" t="str">
        <f t="shared" si="55"/>
        <v/>
      </c>
      <c r="AV100" s="240" t="str">
        <f t="shared" si="56"/>
        <v/>
      </c>
      <c r="AW100" s="240" t="str">
        <f t="shared" si="57"/>
        <v/>
      </c>
      <c r="AX100" s="240" t="str">
        <f t="shared" si="58"/>
        <v/>
      </c>
      <c r="AY100" s="240" t="str">
        <f t="shared" si="59"/>
        <v/>
      </c>
      <c r="AZ100" s="1"/>
    </row>
    <row r="101" spans="1:52">
      <c r="A101" s="17" t="s">
        <v>276</v>
      </c>
      <c r="B101" s="242" t="s">
        <v>1150</v>
      </c>
      <c r="C101" s="242" t="s">
        <v>1151</v>
      </c>
      <c r="D101" s="242" t="s">
        <v>1152</v>
      </c>
      <c r="E101" s="242" t="s">
        <v>1153</v>
      </c>
      <c r="F101" s="242" t="s">
        <v>1154</v>
      </c>
      <c r="G101" s="242" t="s">
        <v>518</v>
      </c>
      <c r="H101" s="242"/>
      <c r="I101" s="242"/>
      <c r="J101" s="242"/>
      <c r="K101" s="242"/>
      <c r="L101" s="242"/>
      <c r="M101" s="242"/>
      <c r="N101" s="242"/>
      <c r="O101" s="17" t="s">
        <v>276</v>
      </c>
      <c r="P101" s="240">
        <v>590086</v>
      </c>
      <c r="Q101" s="240">
        <v>500184</v>
      </c>
      <c r="R101" s="240">
        <v>527001</v>
      </c>
      <c r="S101" s="240">
        <v>504918</v>
      </c>
      <c r="T101" s="1">
        <v>512289</v>
      </c>
      <c r="U101" s="1">
        <v>512579</v>
      </c>
      <c r="V101" s="1"/>
      <c r="W101" s="1"/>
      <c r="X101" s="1"/>
      <c r="Y101" s="1"/>
      <c r="Z101" s="1"/>
      <c r="AA101" s="1"/>
      <c r="AB101" s="1"/>
      <c r="AC101" s="1"/>
      <c r="AD101" s="17" t="s">
        <v>276</v>
      </c>
      <c r="AE101" s="240">
        <v>590086</v>
      </c>
      <c r="AF101" s="242" t="s">
        <v>1150</v>
      </c>
      <c r="AG101" s="240">
        <v>590086</v>
      </c>
      <c r="AJ101" s="17" t="s">
        <v>276</v>
      </c>
      <c r="AK101" s="240" t="str">
        <f t="shared" si="45"/>
        <v>Orissa Minerals</v>
      </c>
      <c r="AL101" s="240" t="str">
        <f t="shared" si="46"/>
        <v>Himadri Chemical</v>
      </c>
      <c r="AM101" s="240" t="str">
        <f t="shared" si="47"/>
        <v>Ashapura Minech.</v>
      </c>
      <c r="AN101" s="240" t="str">
        <f t="shared" si="48"/>
        <v>Sandur Manganese</v>
      </c>
      <c r="AO101" s="240" t="str">
        <f t="shared" si="49"/>
        <v>Shirpur Gold</v>
      </c>
      <c r="AP101" s="240" t="str">
        <f t="shared" si="50"/>
        <v>Guj NRE Coke</v>
      </c>
      <c r="AQ101" s="240" t="str">
        <f t="shared" si="51"/>
        <v/>
      </c>
      <c r="AR101" s="240" t="str">
        <f t="shared" si="52"/>
        <v/>
      </c>
      <c r="AS101" s="240" t="str">
        <f t="shared" si="53"/>
        <v/>
      </c>
      <c r="AT101" s="240" t="str">
        <f t="shared" si="54"/>
        <v/>
      </c>
      <c r="AU101" s="240" t="str">
        <f t="shared" si="55"/>
        <v/>
      </c>
      <c r="AV101" s="240" t="str">
        <f t="shared" si="56"/>
        <v/>
      </c>
      <c r="AW101" s="240" t="str">
        <f t="shared" si="57"/>
        <v/>
      </c>
      <c r="AX101" s="240" t="str">
        <f t="shared" si="58"/>
        <v/>
      </c>
      <c r="AY101" s="240" t="str">
        <f t="shared" si="59"/>
        <v/>
      </c>
      <c r="AZ101" s="1"/>
    </row>
    <row r="102" spans="1:52">
      <c r="A102" s="17" t="s">
        <v>414</v>
      </c>
      <c r="B102" s="242" t="s">
        <v>939</v>
      </c>
      <c r="C102" s="242" t="s">
        <v>519</v>
      </c>
      <c r="D102" s="242" t="s">
        <v>1155</v>
      </c>
      <c r="E102" s="242" t="s">
        <v>1156</v>
      </c>
      <c r="F102" s="242" t="s">
        <v>1157</v>
      </c>
      <c r="G102" s="242" t="s">
        <v>1158</v>
      </c>
      <c r="H102" s="242"/>
      <c r="I102" s="242"/>
      <c r="J102" s="242"/>
      <c r="K102" s="242"/>
      <c r="L102" s="242"/>
      <c r="M102" s="242"/>
      <c r="N102" s="242"/>
      <c r="O102" s="17" t="s">
        <v>414</v>
      </c>
      <c r="P102" s="240">
        <v>533047</v>
      </c>
      <c r="Q102" s="242">
        <v>533282</v>
      </c>
      <c r="R102" s="1">
        <v>590078</v>
      </c>
      <c r="S102" s="1">
        <v>513142</v>
      </c>
      <c r="T102" s="1">
        <v>500141</v>
      </c>
      <c r="U102" s="1">
        <v>532731</v>
      </c>
      <c r="V102" s="1"/>
      <c r="W102" s="1"/>
      <c r="X102" s="1"/>
      <c r="Y102" s="1"/>
      <c r="Z102" s="1"/>
      <c r="AA102" s="1"/>
      <c r="AB102" s="1"/>
      <c r="AC102" s="1"/>
      <c r="AD102" s="17" t="s">
        <v>414</v>
      </c>
      <c r="AE102" s="240">
        <v>533047</v>
      </c>
      <c r="AF102" s="242" t="s">
        <v>939</v>
      </c>
      <c r="AG102" s="240">
        <v>533047</v>
      </c>
      <c r="AJ102" s="17" t="s">
        <v>414</v>
      </c>
      <c r="AK102" s="240" t="str">
        <f t="shared" si="45"/>
        <v>Indian Metals</v>
      </c>
      <c r="AL102" s="240" t="str">
        <f t="shared" si="46"/>
        <v>Gravita India</v>
      </c>
      <c r="AM102" s="240" t="str">
        <f t="shared" si="47"/>
        <v>Maithan Alloys</v>
      </c>
      <c r="AN102" s="240" t="str">
        <f t="shared" si="48"/>
        <v>Balasore Alloys</v>
      </c>
      <c r="AO102" s="240" t="str">
        <f t="shared" si="49"/>
        <v>Ferro Alloys Cor</v>
      </c>
      <c r="AP102" s="240" t="str">
        <f t="shared" si="50"/>
        <v>Rohit Ferro Tec.</v>
      </c>
      <c r="AQ102" s="240" t="str">
        <f t="shared" si="51"/>
        <v/>
      </c>
      <c r="AR102" s="240" t="str">
        <f t="shared" si="52"/>
        <v/>
      </c>
      <c r="AS102" s="240" t="str">
        <f t="shared" si="53"/>
        <v/>
      </c>
      <c r="AT102" s="240" t="str">
        <f t="shared" si="54"/>
        <v/>
      </c>
      <c r="AU102" s="240" t="str">
        <f t="shared" si="55"/>
        <v/>
      </c>
      <c r="AV102" s="240" t="str">
        <f t="shared" si="56"/>
        <v/>
      </c>
      <c r="AW102" s="240" t="str">
        <f t="shared" si="57"/>
        <v/>
      </c>
      <c r="AX102" s="240" t="str">
        <f t="shared" si="58"/>
        <v/>
      </c>
      <c r="AY102" s="240" t="str">
        <f t="shared" si="59"/>
        <v/>
      </c>
      <c r="AZ102" s="1"/>
    </row>
    <row r="103" spans="1:52">
      <c r="A103" s="17" t="s">
        <v>303</v>
      </c>
      <c r="B103" s="242" t="s">
        <v>509</v>
      </c>
      <c r="C103" s="242"/>
      <c r="D103" s="242"/>
      <c r="E103" s="242"/>
      <c r="F103" s="242"/>
      <c r="G103" s="242"/>
      <c r="H103" s="242"/>
      <c r="I103" s="242"/>
      <c r="J103" s="242"/>
      <c r="K103" s="242"/>
      <c r="L103" s="242"/>
      <c r="M103" s="242"/>
      <c r="N103" s="242"/>
      <c r="O103" s="17" t="s">
        <v>303</v>
      </c>
      <c r="P103" s="1">
        <v>500820</v>
      </c>
      <c r="Q103" s="240"/>
      <c r="R103" s="240"/>
      <c r="S103" s="1"/>
      <c r="T103" s="1"/>
      <c r="U103" s="1"/>
      <c r="V103" s="1"/>
      <c r="W103" s="1"/>
      <c r="X103" s="1"/>
      <c r="Y103" s="1"/>
      <c r="Z103" s="1"/>
      <c r="AA103" s="1"/>
      <c r="AB103" s="1"/>
      <c r="AC103" s="1"/>
      <c r="AD103" s="17" t="s">
        <v>303</v>
      </c>
      <c r="AE103" s="1">
        <v>500820</v>
      </c>
      <c r="AF103" s="242" t="s">
        <v>509</v>
      </c>
      <c r="AG103" s="1">
        <v>500820</v>
      </c>
      <c r="AJ103" s="17" t="s">
        <v>303</v>
      </c>
      <c r="AK103" s="240" t="str">
        <f t="shared" si="45"/>
        <v>Asian Paints</v>
      </c>
      <c r="AL103" s="240" t="str">
        <f t="shared" si="46"/>
        <v/>
      </c>
      <c r="AM103" s="240" t="str">
        <f t="shared" si="47"/>
        <v/>
      </c>
      <c r="AN103" s="240" t="str">
        <f t="shared" si="48"/>
        <v/>
      </c>
      <c r="AO103" s="240" t="str">
        <f t="shared" si="49"/>
        <v/>
      </c>
      <c r="AP103" s="240" t="str">
        <f t="shared" si="50"/>
        <v/>
      </c>
      <c r="AQ103" s="240" t="str">
        <f t="shared" si="51"/>
        <v/>
      </c>
      <c r="AR103" s="240" t="str">
        <f t="shared" si="52"/>
        <v/>
      </c>
      <c r="AS103" s="240" t="str">
        <f t="shared" si="53"/>
        <v/>
      </c>
      <c r="AT103" s="240" t="str">
        <f t="shared" si="54"/>
        <v/>
      </c>
      <c r="AU103" s="240" t="str">
        <f t="shared" si="55"/>
        <v/>
      </c>
      <c r="AV103" s="240" t="str">
        <f t="shared" si="56"/>
        <v/>
      </c>
      <c r="AW103" s="240" t="str">
        <f t="shared" si="57"/>
        <v/>
      </c>
      <c r="AX103" s="240" t="str">
        <f t="shared" si="58"/>
        <v/>
      </c>
      <c r="AY103" s="240" t="str">
        <f t="shared" si="59"/>
        <v/>
      </c>
      <c r="AZ103" s="1"/>
    </row>
    <row r="104" spans="1:52">
      <c r="A104" s="17" t="s">
        <v>262</v>
      </c>
      <c r="B104" s="242" t="s">
        <v>510</v>
      </c>
      <c r="C104" s="242" t="s">
        <v>511</v>
      </c>
      <c r="D104" s="242" t="s">
        <v>512</v>
      </c>
      <c r="E104" s="242"/>
      <c r="F104" s="242"/>
      <c r="G104" s="242"/>
      <c r="H104" s="242"/>
      <c r="I104" s="242"/>
      <c r="J104" s="242"/>
      <c r="K104" s="242"/>
      <c r="L104" s="242"/>
      <c r="M104" s="242"/>
      <c r="N104" s="242"/>
      <c r="O104" s="17" t="s">
        <v>262</v>
      </c>
      <c r="P104" s="240">
        <v>509480</v>
      </c>
      <c r="Q104" s="240">
        <v>500165</v>
      </c>
      <c r="R104" s="240">
        <v>500710</v>
      </c>
      <c r="S104" s="240"/>
      <c r="T104" s="240"/>
      <c r="U104" s="1"/>
      <c r="V104" s="1"/>
      <c r="W104" s="1"/>
      <c r="X104" s="1"/>
      <c r="Y104" s="1"/>
      <c r="Z104" s="1"/>
      <c r="AA104" s="1"/>
      <c r="AB104" s="1"/>
      <c r="AC104" s="1"/>
      <c r="AD104" s="17" t="s">
        <v>262</v>
      </c>
      <c r="AE104" s="240">
        <v>509480</v>
      </c>
      <c r="AF104" s="242" t="s">
        <v>510</v>
      </c>
      <c r="AG104" s="240">
        <v>509480</v>
      </c>
      <c r="AJ104" s="17" t="s">
        <v>262</v>
      </c>
      <c r="AK104" s="240" t="str">
        <f t="shared" si="45"/>
        <v>Berger Paints</v>
      </c>
      <c r="AL104" s="240" t="str">
        <f t="shared" si="46"/>
        <v>Kansai Nerolac</v>
      </c>
      <c r="AM104" s="240" t="str">
        <f t="shared" si="47"/>
        <v>Akzo Nobel</v>
      </c>
      <c r="AN104" s="240" t="str">
        <f t="shared" si="48"/>
        <v/>
      </c>
      <c r="AO104" s="240" t="str">
        <f t="shared" si="49"/>
        <v/>
      </c>
      <c r="AP104" s="240" t="str">
        <f t="shared" si="50"/>
        <v/>
      </c>
      <c r="AQ104" s="240" t="str">
        <f t="shared" si="51"/>
        <v/>
      </c>
      <c r="AR104" s="240" t="str">
        <f t="shared" si="52"/>
        <v/>
      </c>
      <c r="AS104" s="240" t="str">
        <f t="shared" si="53"/>
        <v/>
      </c>
      <c r="AT104" s="240" t="str">
        <f t="shared" si="54"/>
        <v/>
      </c>
      <c r="AU104" s="240" t="str">
        <f t="shared" si="55"/>
        <v/>
      </c>
      <c r="AV104" s="240" t="str">
        <f t="shared" si="56"/>
        <v/>
      </c>
      <c r="AW104" s="240" t="str">
        <f t="shared" si="57"/>
        <v/>
      </c>
      <c r="AX104" s="240" t="str">
        <f t="shared" si="58"/>
        <v/>
      </c>
      <c r="AY104" s="240" t="str">
        <f t="shared" si="59"/>
        <v/>
      </c>
      <c r="AZ104" s="1"/>
    </row>
    <row r="105" spans="1:52">
      <c r="A105" s="17" t="s">
        <v>258</v>
      </c>
      <c r="B105" s="242" t="s">
        <v>513</v>
      </c>
      <c r="C105" s="242"/>
      <c r="D105" s="242"/>
      <c r="E105" s="242"/>
      <c r="F105" s="242"/>
      <c r="G105" s="242"/>
      <c r="H105" s="242"/>
      <c r="I105" s="242"/>
      <c r="J105" s="242"/>
      <c r="K105" s="242"/>
      <c r="L105" s="242"/>
      <c r="M105" s="242"/>
      <c r="N105" s="242"/>
      <c r="O105" s="17" t="s">
        <v>258</v>
      </c>
      <c r="P105" s="240">
        <v>500312</v>
      </c>
      <c r="Q105" s="240"/>
      <c r="R105" s="240"/>
      <c r="S105" s="240"/>
      <c r="T105" s="240"/>
      <c r="U105" s="240"/>
      <c r="V105" s="242"/>
      <c r="W105" s="242"/>
      <c r="X105" s="242"/>
      <c r="Y105" s="242"/>
      <c r="Z105" s="242"/>
      <c r="AA105" s="242"/>
      <c r="AB105" s="1"/>
      <c r="AC105" s="1"/>
      <c r="AD105" s="17" t="s">
        <v>258</v>
      </c>
      <c r="AE105" s="240">
        <v>500312</v>
      </c>
      <c r="AF105" s="242" t="s">
        <v>513</v>
      </c>
      <c r="AG105" s="240">
        <v>500312</v>
      </c>
      <c r="AJ105" s="17" t="s">
        <v>258</v>
      </c>
      <c r="AK105" s="240" t="str">
        <f t="shared" si="45"/>
        <v>O N G C</v>
      </c>
      <c r="AL105" s="240" t="str">
        <f t="shared" si="46"/>
        <v/>
      </c>
      <c r="AM105" s="240" t="str">
        <f t="shared" si="47"/>
        <v/>
      </c>
      <c r="AN105" s="240" t="str">
        <f t="shared" si="48"/>
        <v/>
      </c>
      <c r="AO105" s="240" t="str">
        <f t="shared" si="49"/>
        <v/>
      </c>
      <c r="AP105" s="240" t="str">
        <f t="shared" si="50"/>
        <v/>
      </c>
      <c r="AQ105" s="240" t="str">
        <f t="shared" si="51"/>
        <v/>
      </c>
      <c r="AR105" s="240" t="str">
        <f t="shared" si="52"/>
        <v/>
      </c>
      <c r="AS105" s="240" t="str">
        <f t="shared" si="53"/>
        <v/>
      </c>
      <c r="AT105" s="240" t="str">
        <f t="shared" si="54"/>
        <v/>
      </c>
      <c r="AU105" s="240" t="str">
        <f t="shared" si="55"/>
        <v/>
      </c>
      <c r="AV105" s="240" t="str">
        <f t="shared" si="56"/>
        <v/>
      </c>
      <c r="AW105" s="240" t="str">
        <f t="shared" si="57"/>
        <v/>
      </c>
      <c r="AX105" s="240" t="str">
        <f t="shared" si="58"/>
        <v/>
      </c>
      <c r="AY105" s="240" t="str">
        <f t="shared" si="59"/>
        <v/>
      </c>
      <c r="AZ105" s="1"/>
    </row>
    <row r="106" spans="1:52">
      <c r="A106" s="17" t="s">
        <v>302</v>
      </c>
      <c r="B106" s="242" t="s">
        <v>514</v>
      </c>
      <c r="C106" s="242" t="s">
        <v>515</v>
      </c>
      <c r="D106" s="242"/>
      <c r="E106" s="242"/>
      <c r="F106" s="242"/>
      <c r="G106" s="242"/>
      <c r="H106" s="242"/>
      <c r="I106" s="242"/>
      <c r="J106" s="242"/>
      <c r="K106" s="242"/>
      <c r="L106" s="242"/>
      <c r="M106" s="242"/>
      <c r="N106" s="242"/>
      <c r="O106" s="17" t="s">
        <v>302</v>
      </c>
      <c r="P106" s="240">
        <v>532792</v>
      </c>
      <c r="Q106" s="240">
        <v>533106</v>
      </c>
      <c r="R106" s="240"/>
      <c r="S106" s="1"/>
      <c r="T106" s="1"/>
      <c r="U106" s="1"/>
      <c r="V106" s="1"/>
      <c r="W106" s="1"/>
      <c r="X106" s="1"/>
      <c r="Y106" s="1"/>
      <c r="Z106" s="1"/>
      <c r="AA106" s="1"/>
      <c r="AB106" s="1"/>
      <c r="AC106" s="1"/>
      <c r="AD106" s="17" t="s">
        <v>302</v>
      </c>
      <c r="AE106" s="240">
        <v>532792</v>
      </c>
      <c r="AF106" s="242" t="s">
        <v>514</v>
      </c>
      <c r="AG106" s="240">
        <v>532792</v>
      </c>
      <c r="AJ106" s="17" t="s">
        <v>302</v>
      </c>
      <c r="AK106" s="240" t="str">
        <f t="shared" si="45"/>
        <v>Cairn India</v>
      </c>
      <c r="AL106" s="240" t="str">
        <f t="shared" si="46"/>
        <v>Oil India</v>
      </c>
      <c r="AM106" s="240" t="str">
        <f t="shared" si="47"/>
        <v/>
      </c>
      <c r="AN106" s="240" t="str">
        <f t="shared" si="48"/>
        <v/>
      </c>
      <c r="AO106" s="240" t="str">
        <f t="shared" si="49"/>
        <v/>
      </c>
      <c r="AP106" s="240" t="str">
        <f t="shared" si="50"/>
        <v/>
      </c>
      <c r="AQ106" s="240" t="str">
        <f t="shared" si="51"/>
        <v/>
      </c>
      <c r="AR106" s="240" t="str">
        <f t="shared" si="52"/>
        <v/>
      </c>
      <c r="AS106" s="240" t="str">
        <f t="shared" si="53"/>
        <v/>
      </c>
      <c r="AT106" s="240" t="str">
        <f t="shared" si="54"/>
        <v/>
      </c>
      <c r="AU106" s="240" t="str">
        <f t="shared" si="55"/>
        <v/>
      </c>
      <c r="AV106" s="240" t="str">
        <f t="shared" si="56"/>
        <v/>
      </c>
      <c r="AW106" s="240" t="str">
        <f t="shared" si="57"/>
        <v/>
      </c>
      <c r="AX106" s="240" t="str">
        <f t="shared" si="58"/>
        <v/>
      </c>
      <c r="AY106" s="240" t="str">
        <f t="shared" si="59"/>
        <v/>
      </c>
      <c r="AZ106" s="1"/>
    </row>
    <row r="107" spans="1:52">
      <c r="A107" s="17" t="s">
        <v>275</v>
      </c>
      <c r="B107" s="242" t="s">
        <v>516</v>
      </c>
      <c r="C107" s="242" t="s">
        <v>1159</v>
      </c>
      <c r="D107" s="242" t="s">
        <v>517</v>
      </c>
      <c r="E107" s="242" t="s">
        <v>1160</v>
      </c>
      <c r="F107" s="242"/>
      <c r="G107" s="242"/>
      <c r="H107" s="242"/>
      <c r="I107" s="242"/>
      <c r="J107" s="242"/>
      <c r="K107" s="242"/>
      <c r="L107" s="242"/>
      <c r="M107" s="242"/>
      <c r="N107" s="242"/>
      <c r="O107" s="17" t="s">
        <v>275</v>
      </c>
      <c r="P107" s="240">
        <v>523204</v>
      </c>
      <c r="Q107" s="240">
        <v>530075</v>
      </c>
      <c r="R107" s="240">
        <v>500186</v>
      </c>
      <c r="S107" s="240">
        <v>511034</v>
      </c>
      <c r="T107" s="242"/>
      <c r="U107" s="1"/>
      <c r="V107" s="1"/>
      <c r="W107" s="1"/>
      <c r="X107" s="1"/>
      <c r="Y107" s="1"/>
      <c r="Z107" s="1"/>
      <c r="AA107" s="1"/>
      <c r="AB107" s="1"/>
      <c r="AC107" s="1"/>
      <c r="AD107" s="17" t="s">
        <v>275</v>
      </c>
      <c r="AE107" s="240">
        <v>523204</v>
      </c>
      <c r="AF107" s="242" t="s">
        <v>516</v>
      </c>
      <c r="AG107" s="240">
        <v>523204</v>
      </c>
      <c r="AJ107" s="17" t="s">
        <v>275</v>
      </c>
      <c r="AK107" s="240" t="str">
        <f t="shared" si="45"/>
        <v>Aban Offshore</v>
      </c>
      <c r="AL107" s="240" t="str">
        <f t="shared" si="46"/>
        <v>Selan Expl. Tech</v>
      </c>
      <c r="AM107" s="240" t="str">
        <f t="shared" si="47"/>
        <v>Hind.Oil Explor.</v>
      </c>
      <c r="AN107" s="240" t="str">
        <f t="shared" si="48"/>
        <v>Jindal Drilling</v>
      </c>
      <c r="AO107" s="240" t="str">
        <f t="shared" si="49"/>
        <v/>
      </c>
      <c r="AP107" s="240" t="str">
        <f t="shared" si="50"/>
        <v/>
      </c>
      <c r="AQ107" s="240" t="str">
        <f t="shared" si="51"/>
        <v/>
      </c>
      <c r="AR107" s="240" t="str">
        <f t="shared" si="52"/>
        <v/>
      </c>
      <c r="AS107" s="240" t="str">
        <f t="shared" si="53"/>
        <v/>
      </c>
      <c r="AT107" s="240" t="str">
        <f t="shared" si="54"/>
        <v/>
      </c>
      <c r="AU107" s="240" t="str">
        <f t="shared" si="55"/>
        <v/>
      </c>
      <c r="AV107" s="240" t="str">
        <f t="shared" si="56"/>
        <v/>
      </c>
      <c r="AW107" s="240" t="str">
        <f t="shared" si="57"/>
        <v/>
      </c>
      <c r="AX107" s="240" t="str">
        <f t="shared" si="58"/>
        <v/>
      </c>
      <c r="AY107" s="240" t="str">
        <f t="shared" si="59"/>
        <v/>
      </c>
      <c r="AZ107" s="1"/>
    </row>
    <row r="108" spans="1:52">
      <c r="A108" s="17" t="s">
        <v>301</v>
      </c>
      <c r="B108" s="242" t="s">
        <v>508</v>
      </c>
      <c r="C108" s="242" t="s">
        <v>1161</v>
      </c>
      <c r="D108" s="242" t="s">
        <v>984</v>
      </c>
      <c r="E108" s="242" t="s">
        <v>1162</v>
      </c>
      <c r="F108" s="242" t="s">
        <v>985</v>
      </c>
      <c r="G108" s="242" t="s">
        <v>506</v>
      </c>
      <c r="H108" s="242"/>
      <c r="I108" s="242"/>
      <c r="J108" s="242"/>
      <c r="K108" s="242"/>
      <c r="L108" s="242"/>
      <c r="M108" s="242"/>
      <c r="N108" s="242"/>
      <c r="O108" s="17" t="s">
        <v>301</v>
      </c>
      <c r="P108" s="240">
        <v>500102</v>
      </c>
      <c r="Q108" s="240">
        <v>502330</v>
      </c>
      <c r="R108" s="240">
        <v>531426</v>
      </c>
      <c r="S108" s="242">
        <v>532162</v>
      </c>
      <c r="T108" s="1">
        <v>500444</v>
      </c>
      <c r="U108" s="1">
        <v>523523</v>
      </c>
      <c r="V108" s="1"/>
      <c r="W108" s="1"/>
      <c r="X108" s="1"/>
      <c r="Y108" s="1"/>
      <c r="Z108" s="1"/>
      <c r="AA108" s="1"/>
      <c r="AB108" s="1"/>
      <c r="AC108" s="1"/>
      <c r="AD108" s="17" t="s">
        <v>301</v>
      </c>
      <c r="AE108" s="240">
        <v>500102</v>
      </c>
      <c r="AF108" s="242" t="s">
        <v>508</v>
      </c>
      <c r="AG108" s="240">
        <v>500102</v>
      </c>
      <c r="AJ108" s="17" t="s">
        <v>301</v>
      </c>
      <c r="AK108" s="240" t="str">
        <f t="shared" si="45"/>
        <v>Ballarpur Inds.</v>
      </c>
      <c r="AL108" s="240" t="str">
        <f t="shared" si="46"/>
        <v>Internat. Paper</v>
      </c>
      <c r="AM108" s="240" t="str">
        <f t="shared" si="47"/>
        <v>T N Newsprint</v>
      </c>
      <c r="AN108" s="240" t="str">
        <f t="shared" si="48"/>
        <v>JK Paper</v>
      </c>
      <c r="AO108" s="240" t="str">
        <f t="shared" si="49"/>
        <v>West Coast Paper</v>
      </c>
      <c r="AP108" s="240" t="str">
        <f t="shared" si="50"/>
        <v>Rainbow Papers</v>
      </c>
      <c r="AQ108" s="240" t="str">
        <f t="shared" si="51"/>
        <v/>
      </c>
      <c r="AR108" s="240" t="str">
        <f t="shared" si="52"/>
        <v/>
      </c>
      <c r="AS108" s="240" t="str">
        <f t="shared" si="53"/>
        <v/>
      </c>
      <c r="AT108" s="240" t="str">
        <f t="shared" si="54"/>
        <v/>
      </c>
      <c r="AU108" s="240" t="str">
        <f t="shared" si="55"/>
        <v/>
      </c>
      <c r="AV108" s="240" t="str">
        <f t="shared" si="56"/>
        <v/>
      </c>
      <c r="AW108" s="240" t="str">
        <f t="shared" si="57"/>
        <v/>
      </c>
      <c r="AX108" s="240" t="str">
        <f t="shared" si="58"/>
        <v/>
      </c>
      <c r="AY108" s="240" t="str">
        <f t="shared" si="59"/>
        <v/>
      </c>
      <c r="AZ108" s="1"/>
    </row>
    <row r="109" spans="1:52">
      <c r="A109" s="17" t="s">
        <v>274</v>
      </c>
      <c r="B109" s="242" t="s">
        <v>349</v>
      </c>
      <c r="C109" s="242"/>
      <c r="D109" s="242"/>
      <c r="E109" s="242"/>
      <c r="F109" s="242"/>
      <c r="G109" s="242"/>
      <c r="H109" s="242"/>
      <c r="I109" s="242"/>
      <c r="J109" s="242"/>
      <c r="K109" s="242"/>
      <c r="L109" s="242"/>
      <c r="M109" s="242"/>
      <c r="O109" s="17" t="s">
        <v>274</v>
      </c>
      <c r="P109" s="240">
        <v>500696</v>
      </c>
      <c r="Q109" s="240"/>
      <c r="R109" s="240"/>
      <c r="S109" s="240"/>
      <c r="T109" s="1"/>
      <c r="U109" s="1"/>
      <c r="V109" s="1"/>
      <c r="W109" s="1"/>
      <c r="X109" s="1"/>
      <c r="Y109" s="1"/>
      <c r="Z109" s="1"/>
      <c r="AA109" s="1"/>
      <c r="AB109" s="1"/>
      <c r="AC109" s="1"/>
      <c r="AD109" s="17" t="s">
        <v>274</v>
      </c>
      <c r="AE109" s="240">
        <v>500696</v>
      </c>
      <c r="AF109" s="242" t="s">
        <v>349</v>
      </c>
      <c r="AG109" s="240">
        <v>500696</v>
      </c>
      <c r="AJ109" s="17" t="s">
        <v>274</v>
      </c>
      <c r="AK109" s="240" t="str">
        <f t="shared" si="45"/>
        <v>Hind. Unilever</v>
      </c>
      <c r="AL109" s="240" t="str">
        <f t="shared" si="46"/>
        <v/>
      </c>
      <c r="AM109" s="240" t="str">
        <f t="shared" si="47"/>
        <v/>
      </c>
      <c r="AN109" s="240" t="str">
        <f t="shared" si="48"/>
        <v/>
      </c>
      <c r="AO109" s="240" t="str">
        <f t="shared" si="49"/>
        <v/>
      </c>
      <c r="AP109" s="240" t="str">
        <f t="shared" si="50"/>
        <v/>
      </c>
      <c r="AQ109" s="240" t="str">
        <f t="shared" si="51"/>
        <v/>
      </c>
      <c r="AR109" s="240" t="str">
        <f t="shared" si="52"/>
        <v/>
      </c>
      <c r="AS109" s="240" t="str">
        <f t="shared" si="53"/>
        <v/>
      </c>
      <c r="AT109" s="240" t="str">
        <f t="shared" si="54"/>
        <v/>
      </c>
      <c r="AU109" s="240" t="str">
        <f t="shared" si="55"/>
        <v/>
      </c>
      <c r="AV109" s="240" t="str">
        <f t="shared" si="56"/>
        <v/>
      </c>
      <c r="AW109" s="240" t="str">
        <f t="shared" si="57"/>
        <v/>
      </c>
      <c r="AX109" s="240" t="str">
        <f t="shared" si="58"/>
        <v/>
      </c>
      <c r="AY109" s="240" t="str">
        <f t="shared" si="59"/>
        <v/>
      </c>
      <c r="AZ109" s="1"/>
    </row>
    <row r="110" spans="1:52">
      <c r="A110" s="17" t="s">
        <v>300</v>
      </c>
      <c r="B110" s="242" t="s">
        <v>501</v>
      </c>
      <c r="C110" s="242" t="s">
        <v>500</v>
      </c>
      <c r="D110" s="242" t="s">
        <v>502</v>
      </c>
      <c r="E110" s="242" t="s">
        <v>503</v>
      </c>
      <c r="F110" s="242"/>
      <c r="G110" s="242"/>
      <c r="H110" s="242"/>
      <c r="I110" s="242"/>
      <c r="J110" s="242"/>
      <c r="K110" s="242"/>
      <c r="L110" s="242"/>
      <c r="M110" s="242"/>
      <c r="O110" s="17" t="s">
        <v>300</v>
      </c>
      <c r="P110" s="240">
        <v>500096</v>
      </c>
      <c r="Q110" s="240">
        <v>532424</v>
      </c>
      <c r="R110" s="240">
        <v>500830</v>
      </c>
      <c r="S110" s="1">
        <v>531642</v>
      </c>
      <c r="T110" s="1"/>
      <c r="U110" s="1"/>
      <c r="V110" s="1"/>
      <c r="W110" s="1"/>
      <c r="X110" s="1"/>
      <c r="Y110" s="1"/>
      <c r="Z110" s="1"/>
      <c r="AA110" s="1"/>
      <c r="AB110" s="1"/>
      <c r="AC110" s="1"/>
      <c r="AD110" s="17" t="s">
        <v>300</v>
      </c>
      <c r="AE110" s="240">
        <v>500096</v>
      </c>
      <c r="AF110" s="242" t="s">
        <v>501</v>
      </c>
      <c r="AG110" s="240">
        <v>500096</v>
      </c>
      <c r="AJ110" s="17" t="s">
        <v>300</v>
      </c>
      <c r="AK110" s="240" t="str">
        <f t="shared" si="45"/>
        <v>Dabur India</v>
      </c>
      <c r="AL110" s="240" t="str">
        <f t="shared" si="46"/>
        <v>Godrej Consumer</v>
      </c>
      <c r="AM110" s="240" t="str">
        <f t="shared" si="47"/>
        <v>Colgate-Palm.</v>
      </c>
      <c r="AN110" s="240" t="str">
        <f t="shared" si="48"/>
        <v>Marico</v>
      </c>
      <c r="AO110" s="240" t="str">
        <f t="shared" si="49"/>
        <v/>
      </c>
      <c r="AP110" s="240" t="str">
        <f t="shared" si="50"/>
        <v/>
      </c>
      <c r="AQ110" s="240" t="str">
        <f t="shared" si="51"/>
        <v/>
      </c>
      <c r="AR110" s="240" t="str">
        <f t="shared" si="52"/>
        <v/>
      </c>
      <c r="AS110" s="240" t="str">
        <f t="shared" si="53"/>
        <v/>
      </c>
      <c r="AT110" s="240" t="str">
        <f t="shared" si="54"/>
        <v/>
      </c>
      <c r="AU110" s="240" t="str">
        <f t="shared" si="55"/>
        <v/>
      </c>
      <c r="AV110" s="240" t="str">
        <f t="shared" si="56"/>
        <v/>
      </c>
      <c r="AW110" s="240" t="str">
        <f t="shared" si="57"/>
        <v/>
      </c>
      <c r="AX110" s="240" t="str">
        <f t="shared" si="58"/>
        <v/>
      </c>
      <c r="AY110" s="240" t="str">
        <f t="shared" si="59"/>
        <v/>
      </c>
      <c r="AZ110" s="1"/>
    </row>
    <row r="111" spans="1:52">
      <c r="A111" s="17" t="s">
        <v>329</v>
      </c>
      <c r="B111" s="242" t="s">
        <v>496</v>
      </c>
      <c r="C111" s="242" t="s">
        <v>495</v>
      </c>
      <c r="D111" s="242" t="s">
        <v>497</v>
      </c>
      <c r="E111" s="242" t="s">
        <v>498</v>
      </c>
      <c r="F111" s="242" t="s">
        <v>499</v>
      </c>
      <c r="G111" s="242"/>
      <c r="H111" s="242"/>
      <c r="I111" s="242"/>
      <c r="J111" s="242"/>
      <c r="K111" s="242"/>
      <c r="L111" s="242"/>
      <c r="M111" s="242"/>
      <c r="N111" s="242"/>
      <c r="O111" s="17" t="s">
        <v>329</v>
      </c>
      <c r="P111" s="240">
        <v>500459</v>
      </c>
      <c r="Q111" s="240">
        <v>531162</v>
      </c>
      <c r="R111" s="242">
        <v>507815</v>
      </c>
      <c r="S111" s="1">
        <v>533229</v>
      </c>
      <c r="T111" s="1">
        <v>532926</v>
      </c>
      <c r="U111" s="1"/>
      <c r="V111" s="1"/>
      <c r="W111" s="1"/>
      <c r="X111" s="1"/>
      <c r="Y111" s="1"/>
      <c r="Z111" s="1"/>
      <c r="AA111" s="1"/>
      <c r="AB111" s="1"/>
      <c r="AC111" s="1"/>
      <c r="AD111" s="17" t="s">
        <v>329</v>
      </c>
      <c r="AE111" s="240">
        <v>500459</v>
      </c>
      <c r="AF111" s="242" t="s">
        <v>496</v>
      </c>
      <c r="AG111" s="240">
        <v>500459</v>
      </c>
      <c r="AJ111" s="17" t="s">
        <v>329</v>
      </c>
      <c r="AK111" s="240" t="str">
        <f t="shared" si="45"/>
        <v>P &amp; G Hygiene</v>
      </c>
      <c r="AL111" s="240" t="str">
        <f t="shared" si="46"/>
        <v>Emami</v>
      </c>
      <c r="AM111" s="240" t="str">
        <f t="shared" si="47"/>
        <v>Gillette India</v>
      </c>
      <c r="AN111" s="240" t="str">
        <f t="shared" si="48"/>
        <v>Bajaj Corp</v>
      </c>
      <c r="AO111" s="240" t="str">
        <f t="shared" si="49"/>
        <v>Jyothy Lab.</v>
      </c>
      <c r="AP111" s="240" t="str">
        <f t="shared" si="50"/>
        <v/>
      </c>
      <c r="AQ111" s="240" t="str">
        <f t="shared" si="51"/>
        <v/>
      </c>
      <c r="AR111" s="240" t="str">
        <f t="shared" si="52"/>
        <v/>
      </c>
      <c r="AS111" s="240" t="str">
        <f t="shared" si="53"/>
        <v/>
      </c>
      <c r="AT111" s="240" t="str">
        <f t="shared" si="54"/>
        <v/>
      </c>
      <c r="AU111" s="240" t="str">
        <f t="shared" si="55"/>
        <v/>
      </c>
      <c r="AV111" s="240" t="str">
        <f t="shared" si="56"/>
        <v/>
      </c>
      <c r="AW111" s="240" t="str">
        <f t="shared" si="57"/>
        <v/>
      </c>
      <c r="AX111" s="240" t="str">
        <f t="shared" si="58"/>
        <v/>
      </c>
      <c r="AY111" s="240" t="str">
        <f t="shared" si="59"/>
        <v/>
      </c>
      <c r="AZ111" s="1"/>
    </row>
    <row r="112" spans="1:52">
      <c r="A112" s="17" t="s">
        <v>380</v>
      </c>
      <c r="B112" s="242" t="s">
        <v>1163</v>
      </c>
      <c r="C112" s="242" t="s">
        <v>491</v>
      </c>
      <c r="D112" s="242" t="s">
        <v>493</v>
      </c>
      <c r="E112" s="242"/>
      <c r="F112" s="242"/>
      <c r="G112" s="242"/>
      <c r="H112" s="242"/>
      <c r="I112" s="242"/>
      <c r="J112" s="242"/>
      <c r="K112" s="242"/>
      <c r="L112" s="242"/>
      <c r="M112" s="242"/>
      <c r="N112" s="242"/>
      <c r="O112" s="17" t="s">
        <v>380</v>
      </c>
      <c r="P112" s="240">
        <v>512070</v>
      </c>
      <c r="Q112" s="1">
        <v>506285</v>
      </c>
      <c r="R112" s="1">
        <v>523642</v>
      </c>
      <c r="S112" s="1"/>
      <c r="T112" s="1"/>
      <c r="U112" s="1"/>
      <c r="V112" s="1"/>
      <c r="W112" s="1"/>
      <c r="X112" s="1"/>
      <c r="Y112" s="1"/>
      <c r="Z112" s="1"/>
      <c r="AA112" s="1"/>
      <c r="AB112" s="1"/>
      <c r="AC112" s="1"/>
      <c r="AD112" s="17" t="s">
        <v>380</v>
      </c>
      <c r="AE112" s="240">
        <v>512070</v>
      </c>
      <c r="AF112" s="242" t="s">
        <v>1163</v>
      </c>
      <c r="AG112" s="240">
        <v>512070</v>
      </c>
      <c r="AJ112" s="17" t="s">
        <v>380</v>
      </c>
      <c r="AK112" s="240" t="str">
        <f t="shared" si="45"/>
        <v>UPL</v>
      </c>
      <c r="AL112" s="240" t="str">
        <f t="shared" si="46"/>
        <v>Bayer Crop Sci.</v>
      </c>
      <c r="AM112" s="240" t="str">
        <f t="shared" si="47"/>
        <v>P I Inds.</v>
      </c>
      <c r="AN112" s="240" t="str">
        <f t="shared" si="48"/>
        <v/>
      </c>
      <c r="AO112" s="240" t="str">
        <f t="shared" si="49"/>
        <v/>
      </c>
      <c r="AP112" s="240" t="str">
        <f t="shared" si="50"/>
        <v/>
      </c>
      <c r="AQ112" s="240" t="str">
        <f t="shared" si="51"/>
        <v/>
      </c>
      <c r="AR112" s="240" t="str">
        <f t="shared" si="52"/>
        <v/>
      </c>
      <c r="AS112" s="240" t="str">
        <f t="shared" si="53"/>
        <v/>
      </c>
      <c r="AT112" s="240" t="str">
        <f t="shared" si="54"/>
        <v/>
      </c>
      <c r="AU112" s="240" t="str">
        <f t="shared" si="55"/>
        <v/>
      </c>
      <c r="AV112" s="240" t="str">
        <f t="shared" si="56"/>
        <v/>
      </c>
      <c r="AW112" s="240" t="str">
        <f t="shared" si="57"/>
        <v/>
      </c>
      <c r="AX112" s="240" t="str">
        <f t="shared" si="58"/>
        <v/>
      </c>
      <c r="AY112" s="240" t="str">
        <f t="shared" si="59"/>
        <v/>
      </c>
      <c r="AZ112" s="1"/>
    </row>
    <row r="113" spans="1:52">
      <c r="A113" s="17" t="s">
        <v>299</v>
      </c>
      <c r="B113" s="242" t="s">
        <v>494</v>
      </c>
      <c r="C113" s="242" t="s">
        <v>492</v>
      </c>
      <c r="D113" s="242" t="s">
        <v>966</v>
      </c>
      <c r="E113" s="242" t="s">
        <v>1164</v>
      </c>
      <c r="F113" s="242" t="s">
        <v>1165</v>
      </c>
      <c r="G113" s="242"/>
      <c r="H113" s="242"/>
      <c r="I113" s="242"/>
      <c r="J113" s="242"/>
      <c r="K113" s="242"/>
      <c r="L113" s="242"/>
      <c r="M113" s="242"/>
      <c r="N113" s="242"/>
      <c r="O113" s="17" t="s">
        <v>299</v>
      </c>
      <c r="P113" s="240">
        <v>524084</v>
      </c>
      <c r="Q113" s="240">
        <v>500355</v>
      </c>
      <c r="R113" s="240">
        <v>507717</v>
      </c>
      <c r="S113" s="1">
        <v>532511</v>
      </c>
      <c r="T113" s="1">
        <v>532851</v>
      </c>
      <c r="U113" s="1"/>
      <c r="V113" s="1"/>
      <c r="W113" s="1"/>
      <c r="X113" s="1"/>
      <c r="Y113" s="1"/>
      <c r="Z113" s="1"/>
      <c r="AA113" s="1"/>
      <c r="AB113" s="1"/>
      <c r="AC113" s="1"/>
      <c r="AD113" s="17" t="s">
        <v>299</v>
      </c>
      <c r="AE113" s="240">
        <v>524084</v>
      </c>
      <c r="AF113" s="242" t="s">
        <v>494</v>
      </c>
      <c r="AG113" s="240">
        <v>524084</v>
      </c>
      <c r="AJ113" s="17" t="s">
        <v>299</v>
      </c>
      <c r="AK113" s="240" t="str">
        <f t="shared" si="45"/>
        <v>Monsanto India</v>
      </c>
      <c r="AL113" s="240" t="str">
        <f t="shared" si="46"/>
        <v>Rallis India</v>
      </c>
      <c r="AM113" s="240" t="str">
        <f t="shared" si="47"/>
        <v>Dhanuka Agritech</v>
      </c>
      <c r="AN113" s="240" t="str">
        <f t="shared" si="48"/>
        <v>Excel Crop Care</v>
      </c>
      <c r="AO113" s="240" t="str">
        <f t="shared" si="49"/>
        <v>Insecticid.India</v>
      </c>
      <c r="AP113" s="240" t="str">
        <f t="shared" si="50"/>
        <v/>
      </c>
      <c r="AQ113" s="240" t="str">
        <f t="shared" si="51"/>
        <v/>
      </c>
      <c r="AR113" s="240" t="str">
        <f t="shared" si="52"/>
        <v/>
      </c>
      <c r="AS113" s="240" t="str">
        <f t="shared" si="53"/>
        <v/>
      </c>
      <c r="AT113" s="240" t="str">
        <f t="shared" si="54"/>
        <v/>
      </c>
      <c r="AU113" s="240" t="str">
        <f t="shared" si="55"/>
        <v/>
      </c>
      <c r="AV113" s="240" t="str">
        <f t="shared" si="56"/>
        <v/>
      </c>
      <c r="AW113" s="240" t="str">
        <f t="shared" si="57"/>
        <v/>
      </c>
      <c r="AX113" s="240" t="str">
        <f t="shared" si="58"/>
        <v/>
      </c>
      <c r="AY113" s="240" t="str">
        <f t="shared" si="59"/>
        <v/>
      </c>
      <c r="AZ113" s="1"/>
    </row>
    <row r="114" spans="1:52">
      <c r="A114" s="17" t="s">
        <v>273</v>
      </c>
      <c r="B114" s="242" t="s">
        <v>458</v>
      </c>
      <c r="C114" s="242" t="s">
        <v>460</v>
      </c>
      <c r="D114" s="242" t="s">
        <v>459</v>
      </c>
      <c r="E114" s="242" t="s">
        <v>461</v>
      </c>
      <c r="F114" s="242"/>
      <c r="G114" s="242"/>
      <c r="H114" s="242"/>
      <c r="I114" s="242"/>
      <c r="J114" s="242"/>
      <c r="K114" s="242"/>
      <c r="L114" s="242"/>
      <c r="M114" s="242"/>
      <c r="N114" s="242"/>
      <c r="O114" s="17" t="s">
        <v>273</v>
      </c>
      <c r="P114" s="240">
        <v>524715</v>
      </c>
      <c r="Q114" s="240">
        <v>500257</v>
      </c>
      <c r="R114" s="240">
        <v>500124</v>
      </c>
      <c r="S114" s="240">
        <v>500087</v>
      </c>
      <c r="T114" s="242"/>
      <c r="U114" s="1"/>
      <c r="V114" s="1"/>
      <c r="W114" s="1"/>
      <c r="X114" s="1"/>
      <c r="Y114" s="1"/>
      <c r="Z114" s="1"/>
      <c r="AA114" s="1"/>
      <c r="AB114" s="1"/>
      <c r="AC114" s="1"/>
      <c r="AD114" s="17" t="s">
        <v>273</v>
      </c>
      <c r="AE114" s="240">
        <v>524715</v>
      </c>
      <c r="AF114" s="242" t="s">
        <v>458</v>
      </c>
      <c r="AG114" s="240">
        <v>524715</v>
      </c>
      <c r="AJ114" s="17" t="s">
        <v>273</v>
      </c>
      <c r="AK114" s="240" t="str">
        <f t="shared" si="45"/>
        <v>Sun Pharma.Inds.</v>
      </c>
      <c r="AL114" s="240" t="str">
        <f t="shared" si="46"/>
        <v>Lupin</v>
      </c>
      <c r="AM114" s="240" t="str">
        <f t="shared" si="47"/>
        <v>Dr Reddy's Labs</v>
      </c>
      <c r="AN114" s="240" t="str">
        <f t="shared" si="48"/>
        <v>Cipla</v>
      </c>
      <c r="AO114" s="240" t="str">
        <f t="shared" si="49"/>
        <v/>
      </c>
      <c r="AP114" s="240" t="str">
        <f t="shared" si="50"/>
        <v/>
      </c>
      <c r="AQ114" s="240" t="str">
        <f t="shared" si="51"/>
        <v/>
      </c>
      <c r="AR114" s="240" t="str">
        <f t="shared" si="52"/>
        <v/>
      </c>
      <c r="AS114" s="240" t="str">
        <f t="shared" si="53"/>
        <v/>
      </c>
      <c r="AT114" s="240" t="str">
        <f t="shared" si="54"/>
        <v/>
      </c>
      <c r="AU114" s="240" t="str">
        <f t="shared" si="55"/>
        <v/>
      </c>
      <c r="AV114" s="240" t="str">
        <f t="shared" si="56"/>
        <v/>
      </c>
      <c r="AW114" s="240" t="str">
        <f t="shared" si="57"/>
        <v/>
      </c>
      <c r="AX114" s="240" t="str">
        <f t="shared" si="58"/>
        <v/>
      </c>
      <c r="AY114" s="240" t="str">
        <f t="shared" si="59"/>
        <v/>
      </c>
      <c r="AZ114" s="1"/>
    </row>
    <row r="115" spans="1:52">
      <c r="A115" s="17" t="s">
        <v>328</v>
      </c>
      <c r="B115" s="242" t="s">
        <v>465</v>
      </c>
      <c r="C115" s="242" t="s">
        <v>470</v>
      </c>
      <c r="D115" s="242" t="s">
        <v>463</v>
      </c>
      <c r="E115" s="242" t="s">
        <v>462</v>
      </c>
      <c r="F115" s="242" t="s">
        <v>466</v>
      </c>
      <c r="G115" s="242" t="s">
        <v>464</v>
      </c>
      <c r="H115" s="242"/>
      <c r="I115" s="242"/>
      <c r="J115" s="242"/>
      <c r="K115" s="242"/>
      <c r="L115" s="242"/>
      <c r="M115" s="242"/>
      <c r="N115" s="242"/>
      <c r="O115" s="17" t="s">
        <v>328</v>
      </c>
      <c r="P115" s="240">
        <v>532321</v>
      </c>
      <c r="Q115" s="240">
        <v>524804</v>
      </c>
      <c r="R115" s="1">
        <v>500359</v>
      </c>
      <c r="S115" s="1">
        <v>500660</v>
      </c>
      <c r="T115" s="1">
        <v>532488</v>
      </c>
      <c r="U115" s="1">
        <v>532296</v>
      </c>
      <c r="V115" s="1"/>
      <c r="W115" s="1"/>
      <c r="X115" s="1"/>
      <c r="Y115" s="1"/>
      <c r="Z115" s="1"/>
      <c r="AA115" s="1"/>
      <c r="AB115" s="1"/>
      <c r="AC115" s="1"/>
      <c r="AD115" s="17" t="s">
        <v>328</v>
      </c>
      <c r="AE115" s="240">
        <v>532321</v>
      </c>
      <c r="AF115" s="242" t="s">
        <v>465</v>
      </c>
      <c r="AG115" s="240">
        <v>532321</v>
      </c>
      <c r="AJ115" s="17" t="s">
        <v>328</v>
      </c>
      <c r="AK115" s="240" t="str">
        <f t="shared" si="45"/>
        <v>Cadila Health.</v>
      </c>
      <c r="AL115" s="240" t="str">
        <f t="shared" si="46"/>
        <v>Aurobindo Pharma</v>
      </c>
      <c r="AM115" s="240" t="str">
        <f t="shared" si="47"/>
        <v>Ranbaxy Labs.</v>
      </c>
      <c r="AN115" s="240" t="str">
        <f t="shared" si="48"/>
        <v>Glaxosmit Pharma</v>
      </c>
      <c r="AO115" s="240" t="str">
        <f t="shared" si="49"/>
        <v>Divi's Lab.</v>
      </c>
      <c r="AP115" s="240" t="str">
        <f t="shared" si="50"/>
        <v>Glenmark Pharma.</v>
      </c>
      <c r="AQ115" s="240" t="str">
        <f t="shared" si="51"/>
        <v/>
      </c>
      <c r="AR115" s="240" t="str">
        <f t="shared" si="52"/>
        <v/>
      </c>
      <c r="AS115" s="240" t="str">
        <f t="shared" si="53"/>
        <v/>
      </c>
      <c r="AT115" s="240" t="str">
        <f t="shared" si="54"/>
        <v/>
      </c>
      <c r="AU115" s="240" t="str">
        <f t="shared" si="55"/>
        <v/>
      </c>
      <c r="AV115" s="240" t="str">
        <f t="shared" si="56"/>
        <v/>
      </c>
      <c r="AW115" s="240" t="str">
        <f t="shared" si="57"/>
        <v/>
      </c>
      <c r="AX115" s="240" t="str">
        <f t="shared" si="58"/>
        <v/>
      </c>
      <c r="AY115" s="240" t="str">
        <f t="shared" si="59"/>
        <v/>
      </c>
      <c r="AZ115" s="1"/>
    </row>
    <row r="116" spans="1:52">
      <c r="A116" s="17" t="s">
        <v>327</v>
      </c>
      <c r="B116" s="242" t="s">
        <v>468</v>
      </c>
      <c r="C116" s="242" t="s">
        <v>467</v>
      </c>
      <c r="D116" s="242" t="s">
        <v>473</v>
      </c>
      <c r="E116" s="242" t="s">
        <v>471</v>
      </c>
      <c r="F116" s="242" t="s">
        <v>919</v>
      </c>
      <c r="G116" s="242" t="s">
        <v>469</v>
      </c>
      <c r="H116" s="242"/>
      <c r="I116" s="242"/>
      <c r="J116" s="242"/>
      <c r="K116" s="242"/>
      <c r="L116" s="242"/>
      <c r="M116" s="242"/>
      <c r="N116" s="242"/>
      <c r="O116" s="17" t="s">
        <v>327</v>
      </c>
      <c r="P116" s="240">
        <v>500420</v>
      </c>
      <c r="Q116" s="240">
        <v>500302</v>
      </c>
      <c r="R116" s="1">
        <v>532300</v>
      </c>
      <c r="S116" s="242">
        <v>500674</v>
      </c>
      <c r="T116" s="242">
        <v>524494</v>
      </c>
      <c r="U116" s="1">
        <v>532523</v>
      </c>
      <c r="V116" s="1"/>
      <c r="W116" s="1"/>
      <c r="X116" s="1"/>
      <c r="Y116" s="1"/>
      <c r="Z116" s="1"/>
      <c r="AA116" s="1"/>
      <c r="AB116" s="1"/>
      <c r="AC116" s="1"/>
      <c r="AD116" s="17" t="s">
        <v>327</v>
      </c>
      <c r="AE116" s="240">
        <v>500420</v>
      </c>
      <c r="AF116" s="242" t="s">
        <v>468</v>
      </c>
      <c r="AG116" s="240">
        <v>500420</v>
      </c>
      <c r="AJ116" s="17" t="s">
        <v>327</v>
      </c>
      <c r="AK116" s="240" t="str">
        <f t="shared" si="45"/>
        <v>Torrent Pharma.</v>
      </c>
      <c r="AL116" s="240" t="str">
        <f t="shared" si="46"/>
        <v>Piramal Enterp.</v>
      </c>
      <c r="AM116" s="240" t="str">
        <f t="shared" si="47"/>
        <v>Wockhardt</v>
      </c>
      <c r="AN116" s="240" t="str">
        <f t="shared" si="48"/>
        <v>Sanofi India</v>
      </c>
      <c r="AO116" s="240" t="str">
        <f t="shared" si="49"/>
        <v>Ipca Labs.</v>
      </c>
      <c r="AP116" s="240" t="str">
        <f t="shared" si="50"/>
        <v>Biocon</v>
      </c>
      <c r="AQ116" s="240" t="str">
        <f t="shared" si="51"/>
        <v/>
      </c>
      <c r="AR116" s="240" t="str">
        <f t="shared" si="52"/>
        <v/>
      </c>
      <c r="AS116" s="240" t="str">
        <f t="shared" si="53"/>
        <v/>
      </c>
      <c r="AT116" s="240" t="str">
        <f t="shared" si="54"/>
        <v/>
      </c>
      <c r="AU116" s="240" t="str">
        <f t="shared" si="55"/>
        <v/>
      </c>
      <c r="AV116" s="240" t="str">
        <f t="shared" si="56"/>
        <v/>
      </c>
      <c r="AW116" s="240" t="str">
        <f t="shared" si="57"/>
        <v/>
      </c>
      <c r="AX116" s="240" t="str">
        <f t="shared" si="58"/>
        <v/>
      </c>
      <c r="AY116" s="240" t="str">
        <f t="shared" si="59"/>
        <v/>
      </c>
      <c r="AZ116" s="1"/>
    </row>
    <row r="117" spans="1:52">
      <c r="A117" s="17" t="s">
        <v>367</v>
      </c>
      <c r="B117" s="242" t="s">
        <v>988</v>
      </c>
      <c r="C117" s="242" t="s">
        <v>476</v>
      </c>
      <c r="D117" s="242" t="s">
        <v>477</v>
      </c>
      <c r="E117" s="242" t="s">
        <v>474</v>
      </c>
      <c r="F117" s="242" t="s">
        <v>479</v>
      </c>
      <c r="G117" s="242" t="s">
        <v>472</v>
      </c>
      <c r="H117" s="242" t="s">
        <v>475</v>
      </c>
      <c r="I117" s="242"/>
      <c r="J117" s="242"/>
      <c r="K117" s="242"/>
      <c r="L117" s="242"/>
      <c r="M117" s="242"/>
      <c r="N117" s="242"/>
      <c r="O117" s="17" t="s">
        <v>367</v>
      </c>
      <c r="P117" s="240">
        <v>533573</v>
      </c>
      <c r="Q117" s="1">
        <v>500488</v>
      </c>
      <c r="R117" s="1">
        <v>532331</v>
      </c>
      <c r="S117" s="1">
        <v>500680</v>
      </c>
      <c r="T117" s="1">
        <v>524816</v>
      </c>
      <c r="U117" s="1">
        <v>532531</v>
      </c>
      <c r="V117" s="1">
        <v>532872</v>
      </c>
      <c r="W117" s="1"/>
      <c r="X117" s="1"/>
      <c r="Y117" s="1"/>
      <c r="Z117" s="1"/>
      <c r="AA117" s="1"/>
      <c r="AB117" s="1"/>
      <c r="AC117" s="1"/>
      <c r="AD117" s="17" t="s">
        <v>367</v>
      </c>
      <c r="AE117" s="240">
        <v>533573</v>
      </c>
      <c r="AF117" s="242" t="s">
        <v>988</v>
      </c>
      <c r="AG117" s="240">
        <v>533573</v>
      </c>
      <c r="AJ117" s="17" t="s">
        <v>367</v>
      </c>
      <c r="AK117" s="240" t="str">
        <f t="shared" si="45"/>
        <v>Alembic Pharma</v>
      </c>
      <c r="AL117" s="240" t="str">
        <f t="shared" si="46"/>
        <v>Abbott India</v>
      </c>
      <c r="AM117" s="240" t="str">
        <f t="shared" si="47"/>
        <v>Ajanta Pharma</v>
      </c>
      <c r="AN117" s="240" t="str">
        <f t="shared" si="48"/>
        <v>Pfizer</v>
      </c>
      <c r="AO117" s="240" t="str">
        <f t="shared" si="49"/>
        <v>Natco Pharma</v>
      </c>
      <c r="AP117" s="240" t="str">
        <f t="shared" si="50"/>
        <v>Strides Arcolab</v>
      </c>
      <c r="AQ117" s="240" t="str">
        <f t="shared" si="51"/>
        <v>SPARC</v>
      </c>
      <c r="AR117" s="240" t="str">
        <f t="shared" si="52"/>
        <v/>
      </c>
      <c r="AS117" s="240" t="str">
        <f t="shared" si="53"/>
        <v/>
      </c>
      <c r="AT117" s="240" t="str">
        <f t="shared" si="54"/>
        <v/>
      </c>
      <c r="AU117" s="240" t="str">
        <f t="shared" si="55"/>
        <v/>
      </c>
      <c r="AV117" s="240" t="str">
        <f t="shared" si="56"/>
        <v/>
      </c>
      <c r="AW117" s="240" t="str">
        <f t="shared" si="57"/>
        <v/>
      </c>
      <c r="AX117" s="240" t="str">
        <f t="shared" si="58"/>
        <v/>
      </c>
      <c r="AY117" s="240" t="str">
        <f t="shared" si="59"/>
        <v/>
      </c>
      <c r="AZ117" s="1"/>
    </row>
    <row r="118" spans="1:52">
      <c r="A118" s="17" t="s">
        <v>365</v>
      </c>
      <c r="B118" s="242" t="s">
        <v>935</v>
      </c>
      <c r="C118" s="242" t="s">
        <v>481</v>
      </c>
      <c r="D118" s="242" t="s">
        <v>1166</v>
      </c>
      <c r="E118" s="242" t="s">
        <v>482</v>
      </c>
      <c r="F118" s="242" t="s">
        <v>1167</v>
      </c>
      <c r="G118" s="242" t="s">
        <v>483</v>
      </c>
      <c r="H118" s="242" t="s">
        <v>1168</v>
      </c>
      <c r="I118" s="242" t="s">
        <v>1169</v>
      </c>
      <c r="J118" s="242" t="s">
        <v>480</v>
      </c>
      <c r="K118" s="242" t="s">
        <v>478</v>
      </c>
      <c r="L118" s="242" t="s">
        <v>484</v>
      </c>
      <c r="M118" s="242"/>
      <c r="N118" s="242"/>
      <c r="O118" s="17" t="s">
        <v>365</v>
      </c>
      <c r="P118" s="240">
        <v>532612</v>
      </c>
      <c r="Q118" s="1">
        <v>531599</v>
      </c>
      <c r="R118" s="1">
        <v>530239</v>
      </c>
      <c r="S118" s="1">
        <v>500095</v>
      </c>
      <c r="T118" s="1">
        <v>524404</v>
      </c>
      <c r="U118" s="1">
        <v>530019</v>
      </c>
      <c r="V118" s="1">
        <v>530549</v>
      </c>
      <c r="W118" s="1">
        <v>524200</v>
      </c>
      <c r="X118" s="1">
        <v>506690</v>
      </c>
      <c r="Y118" s="1">
        <v>506820</v>
      </c>
      <c r="Z118" s="1">
        <v>500672</v>
      </c>
      <c r="AA118" s="1"/>
      <c r="AB118" s="1"/>
      <c r="AC118" s="1"/>
      <c r="AD118" s="17" t="s">
        <v>365</v>
      </c>
      <c r="AE118" s="240">
        <v>532612</v>
      </c>
      <c r="AF118" s="242" t="s">
        <v>935</v>
      </c>
      <c r="AG118" s="240">
        <v>532612</v>
      </c>
      <c r="AJ118" s="17" t="s">
        <v>365</v>
      </c>
      <c r="AK118" s="240" t="str">
        <f t="shared" si="45"/>
        <v>Indoco Remedies</v>
      </c>
      <c r="AL118" s="240" t="str">
        <f t="shared" si="46"/>
        <v>FDC</v>
      </c>
      <c r="AM118" s="240" t="str">
        <f t="shared" si="47"/>
        <v>Suven Life Scie.</v>
      </c>
      <c r="AN118" s="240" t="str">
        <f t="shared" si="48"/>
        <v>Wyeth</v>
      </c>
      <c r="AO118" s="240" t="str">
        <f t="shared" si="49"/>
        <v>Marksans Pharma</v>
      </c>
      <c r="AP118" s="240" t="str">
        <f t="shared" si="50"/>
        <v>Jubilant Life</v>
      </c>
      <c r="AQ118" s="240" t="str">
        <f t="shared" si="51"/>
        <v>Shilpa Medicare</v>
      </c>
      <c r="AR118" s="240" t="str">
        <f t="shared" si="52"/>
        <v>Vinati Organics</v>
      </c>
      <c r="AS118" s="240" t="str">
        <f t="shared" si="53"/>
        <v>Unichem Labs.</v>
      </c>
      <c r="AT118" s="240" t="str">
        <f t="shared" si="54"/>
        <v>Astrazeneca Phar</v>
      </c>
      <c r="AU118" s="240" t="str">
        <f t="shared" si="55"/>
        <v>Novartis India</v>
      </c>
      <c r="AV118" s="240" t="str">
        <f t="shared" si="56"/>
        <v/>
      </c>
      <c r="AW118" s="240" t="str">
        <f t="shared" si="57"/>
        <v/>
      </c>
      <c r="AX118" s="240" t="str">
        <f t="shared" si="58"/>
        <v/>
      </c>
      <c r="AY118" s="240" t="str">
        <f t="shared" si="59"/>
        <v/>
      </c>
      <c r="AZ118" s="1"/>
    </row>
    <row r="119" spans="1:52">
      <c r="A119" s="17" t="s">
        <v>326</v>
      </c>
      <c r="B119" s="242" t="s">
        <v>486</v>
      </c>
      <c r="C119" s="242" t="s">
        <v>1170</v>
      </c>
      <c r="D119" s="242" t="s">
        <v>973</v>
      </c>
      <c r="E119" s="242" t="s">
        <v>488</v>
      </c>
      <c r="F119" s="242" t="s">
        <v>1171</v>
      </c>
      <c r="G119" s="242" t="s">
        <v>489</v>
      </c>
      <c r="H119" s="242" t="s">
        <v>1172</v>
      </c>
      <c r="I119" s="242" t="s">
        <v>967</v>
      </c>
      <c r="J119" s="242" t="s">
        <v>485</v>
      </c>
      <c r="K119" s="242"/>
      <c r="L119" s="242"/>
      <c r="M119" s="242"/>
      <c r="N119" s="242"/>
      <c r="O119" s="17" t="s">
        <v>326</v>
      </c>
      <c r="P119" s="240">
        <v>506943</v>
      </c>
      <c r="Q119" s="240">
        <v>532482</v>
      </c>
      <c r="R119" s="242">
        <v>500126</v>
      </c>
      <c r="S119" s="242">
        <v>532526</v>
      </c>
      <c r="T119" s="1">
        <v>512529</v>
      </c>
      <c r="U119" s="1">
        <v>524552</v>
      </c>
      <c r="V119" s="1">
        <v>506235</v>
      </c>
      <c r="W119" s="1">
        <v>524735</v>
      </c>
      <c r="X119" s="1">
        <v>533288</v>
      </c>
      <c r="Y119" s="1"/>
      <c r="Z119" s="1"/>
      <c r="AA119" s="1"/>
      <c r="AB119" s="1"/>
      <c r="AC119" s="1"/>
      <c r="AD119" s="17" t="s">
        <v>326</v>
      </c>
      <c r="AE119" s="240">
        <v>506943</v>
      </c>
      <c r="AF119" s="242" t="s">
        <v>486</v>
      </c>
      <c r="AG119" s="240">
        <v>506943</v>
      </c>
      <c r="AJ119" s="17" t="s">
        <v>326</v>
      </c>
      <c r="AK119" s="240" t="str">
        <f t="shared" si="45"/>
        <v>J B Chem &amp; Pharm</v>
      </c>
      <c r="AL119" s="240" t="str">
        <f t="shared" si="46"/>
        <v>Granules India</v>
      </c>
      <c r="AM119" s="240" t="str">
        <f t="shared" si="47"/>
        <v>Merck</v>
      </c>
      <c r="AN119" s="240" t="str">
        <f t="shared" si="48"/>
        <v>Dishman Pharma.</v>
      </c>
      <c r="AO119" s="240" t="str">
        <f t="shared" si="49"/>
        <v>Sequent Scien.</v>
      </c>
      <c r="AP119" s="240" t="str">
        <f t="shared" si="50"/>
        <v>Shasun Pharma.</v>
      </c>
      <c r="AQ119" s="240" t="str">
        <f t="shared" si="51"/>
        <v>Alembic</v>
      </c>
      <c r="AR119" s="240" t="str">
        <f t="shared" si="52"/>
        <v>Hikal</v>
      </c>
      <c r="AS119" s="240" t="str">
        <f t="shared" si="53"/>
        <v>Claris Lifescien</v>
      </c>
      <c r="AT119" s="240" t="str">
        <f t="shared" si="54"/>
        <v/>
      </c>
      <c r="AU119" s="240" t="str">
        <f t="shared" si="55"/>
        <v/>
      </c>
      <c r="AV119" s="240" t="str">
        <f t="shared" si="56"/>
        <v/>
      </c>
      <c r="AW119" s="240" t="str">
        <f t="shared" si="57"/>
        <v/>
      </c>
      <c r="AX119" s="240" t="str">
        <f t="shared" si="58"/>
        <v/>
      </c>
      <c r="AY119" s="240" t="str">
        <f t="shared" si="59"/>
        <v/>
      </c>
      <c r="AZ119" s="1"/>
    </row>
    <row r="120" spans="1:52">
      <c r="A120" s="17" t="s">
        <v>246</v>
      </c>
      <c r="B120" s="242" t="s">
        <v>1173</v>
      </c>
      <c r="C120" s="242" t="s">
        <v>1174</v>
      </c>
      <c r="D120" s="242" t="s">
        <v>1175</v>
      </c>
      <c r="E120" s="242" t="s">
        <v>490</v>
      </c>
      <c r="F120" s="242" t="s">
        <v>487</v>
      </c>
      <c r="G120" s="242"/>
      <c r="I120" s="242"/>
      <c r="J120" s="242"/>
      <c r="K120" s="242"/>
      <c r="L120" s="242"/>
      <c r="M120" s="242"/>
      <c r="N120" s="242"/>
      <c r="O120" s="17" t="s">
        <v>246</v>
      </c>
      <c r="P120" s="240">
        <v>524348</v>
      </c>
      <c r="Q120" s="240">
        <v>506803</v>
      </c>
      <c r="R120" s="240">
        <v>500288</v>
      </c>
      <c r="S120" s="240">
        <v>524372</v>
      </c>
      <c r="T120" s="240">
        <v>532322</v>
      </c>
      <c r="U120" s="240"/>
      <c r="V120" s="240"/>
      <c r="W120" s="242"/>
      <c r="X120" s="242"/>
      <c r="Y120" s="1"/>
      <c r="Z120" s="1"/>
      <c r="AA120" s="1"/>
      <c r="AB120" s="1"/>
      <c r="AC120" s="1"/>
      <c r="AD120" s="17" t="s">
        <v>246</v>
      </c>
      <c r="AE120" s="240">
        <v>524348</v>
      </c>
      <c r="AF120" s="242" t="s">
        <v>1173</v>
      </c>
      <c r="AG120" s="240">
        <v>524348</v>
      </c>
      <c r="AJ120" s="17" t="s">
        <v>246</v>
      </c>
      <c r="AK120" s="240" t="str">
        <f t="shared" si="45"/>
        <v>Aarti Drugs</v>
      </c>
      <c r="AL120" s="240" t="str">
        <f t="shared" si="46"/>
        <v>Fulford (India)</v>
      </c>
      <c r="AM120" s="240" t="str">
        <f t="shared" si="47"/>
        <v>Morepen Labs.</v>
      </c>
      <c r="AN120" s="240" t="str">
        <f t="shared" si="48"/>
        <v>Orchid Chemicals</v>
      </c>
      <c r="AO120" s="240" t="str">
        <f t="shared" si="49"/>
        <v>Elder Pharma</v>
      </c>
      <c r="AP120" s="240" t="str">
        <f t="shared" si="50"/>
        <v/>
      </c>
      <c r="AQ120" s="240" t="str">
        <f t="shared" si="51"/>
        <v/>
      </c>
      <c r="AR120" s="240" t="str">
        <f t="shared" si="52"/>
        <v/>
      </c>
      <c r="AS120" s="240" t="str">
        <f t="shared" si="53"/>
        <v/>
      </c>
      <c r="AT120" s="240" t="str">
        <f t="shared" si="54"/>
        <v/>
      </c>
      <c r="AU120" s="240" t="str">
        <f t="shared" si="55"/>
        <v/>
      </c>
      <c r="AV120" s="240" t="str">
        <f t="shared" si="56"/>
        <v/>
      </c>
      <c r="AW120" s="240" t="str">
        <f t="shared" si="57"/>
        <v/>
      </c>
      <c r="AX120" s="240" t="str">
        <f t="shared" si="58"/>
        <v/>
      </c>
      <c r="AY120" s="240" t="str">
        <f t="shared" si="59"/>
        <v/>
      </c>
      <c r="AZ120" s="1"/>
    </row>
    <row r="121" spans="1:52">
      <c r="A121" s="17" t="s">
        <v>325</v>
      </c>
      <c r="B121" s="242" t="s">
        <v>455</v>
      </c>
      <c r="C121" s="242" t="s">
        <v>965</v>
      </c>
      <c r="D121" s="242" t="s">
        <v>457</v>
      </c>
      <c r="E121" s="242" t="s">
        <v>456</v>
      </c>
      <c r="F121" s="242" t="s">
        <v>454</v>
      </c>
      <c r="G121" s="242"/>
      <c r="H121" s="242"/>
      <c r="I121" s="242"/>
      <c r="J121" s="242"/>
      <c r="K121" s="242"/>
      <c r="L121" s="242"/>
      <c r="M121" s="242"/>
      <c r="N121" s="242"/>
      <c r="O121" s="17" t="s">
        <v>325</v>
      </c>
      <c r="P121" s="240">
        <v>509930</v>
      </c>
      <c r="Q121" s="240">
        <v>532830</v>
      </c>
      <c r="R121" s="1">
        <v>500940</v>
      </c>
      <c r="S121" s="1">
        <v>500219</v>
      </c>
      <c r="T121" s="1">
        <v>502742</v>
      </c>
      <c r="U121" s="1"/>
      <c r="V121" s="1"/>
      <c r="W121" s="1"/>
      <c r="X121" s="1"/>
      <c r="Y121" s="1"/>
      <c r="Z121" s="1"/>
      <c r="AA121" s="1"/>
      <c r="AB121" s="1"/>
      <c r="AC121" s="1"/>
      <c r="AD121" s="17" t="s">
        <v>325</v>
      </c>
      <c r="AE121" s="240">
        <v>509930</v>
      </c>
      <c r="AF121" s="242" t="s">
        <v>455</v>
      </c>
      <c r="AG121" s="240">
        <v>509930</v>
      </c>
      <c r="AJ121" s="17" t="s">
        <v>325</v>
      </c>
      <c r="AK121" s="240" t="str">
        <f t="shared" si="45"/>
        <v>Supreme Inds.</v>
      </c>
      <c r="AL121" s="240" t="str">
        <f t="shared" si="46"/>
        <v>Astral Poly</v>
      </c>
      <c r="AM121" s="240" t="str">
        <f t="shared" si="47"/>
        <v>Finolex Inds.</v>
      </c>
      <c r="AN121" s="240" t="str">
        <f t="shared" si="48"/>
        <v>Jain Irrigation</v>
      </c>
      <c r="AO121" s="240" t="str">
        <f t="shared" si="49"/>
        <v>Sintex Inds.</v>
      </c>
      <c r="AP121" s="240" t="str">
        <f t="shared" si="50"/>
        <v/>
      </c>
      <c r="AQ121" s="240" t="str">
        <f t="shared" si="51"/>
        <v/>
      </c>
      <c r="AR121" s="240" t="str">
        <f t="shared" si="52"/>
        <v/>
      </c>
      <c r="AS121" s="240" t="str">
        <f t="shared" si="53"/>
        <v/>
      </c>
      <c r="AT121" s="240" t="str">
        <f t="shared" si="54"/>
        <v/>
      </c>
      <c r="AU121" s="240" t="str">
        <f t="shared" si="55"/>
        <v/>
      </c>
      <c r="AV121" s="240" t="str">
        <f t="shared" si="56"/>
        <v/>
      </c>
      <c r="AW121" s="240" t="str">
        <f t="shared" si="57"/>
        <v/>
      </c>
      <c r="AX121" s="240" t="str">
        <f t="shared" si="58"/>
        <v/>
      </c>
      <c r="AY121" s="240" t="str">
        <f t="shared" si="59"/>
        <v/>
      </c>
      <c r="AZ121" s="1"/>
    </row>
    <row r="122" spans="1:52">
      <c r="A122" s="17" t="s">
        <v>298</v>
      </c>
      <c r="B122" s="242" t="s">
        <v>1176</v>
      </c>
      <c r="C122" s="242" t="s">
        <v>1177</v>
      </c>
      <c r="D122" s="242" t="s">
        <v>451</v>
      </c>
      <c r="E122" s="242" t="s">
        <v>453</v>
      </c>
      <c r="F122" s="242" t="s">
        <v>452</v>
      </c>
      <c r="G122" s="242"/>
      <c r="H122" s="242"/>
      <c r="I122" s="242"/>
      <c r="J122" s="242"/>
      <c r="K122" s="242"/>
      <c r="L122" s="242"/>
      <c r="M122" s="242"/>
      <c r="N122" s="242"/>
      <c r="O122" s="17" t="s">
        <v>298</v>
      </c>
      <c r="P122" s="1">
        <v>505509</v>
      </c>
      <c r="Q122" s="240">
        <v>522249</v>
      </c>
      <c r="R122" s="240">
        <v>512237</v>
      </c>
      <c r="S122" s="1">
        <v>532856</v>
      </c>
      <c r="T122" s="1">
        <v>507880</v>
      </c>
      <c r="U122" s="1"/>
      <c r="V122" s="1"/>
      <c r="W122" s="1"/>
      <c r="X122" s="1"/>
      <c r="Y122" s="1"/>
      <c r="Z122" s="1"/>
      <c r="AA122" s="1"/>
      <c r="AB122" s="1"/>
      <c r="AC122" s="1"/>
      <c r="AD122" s="17" t="s">
        <v>298</v>
      </c>
      <c r="AE122" s="1">
        <v>505509</v>
      </c>
      <c r="AF122" s="242" t="s">
        <v>1176</v>
      </c>
      <c r="AG122" s="1">
        <v>505509</v>
      </c>
      <c r="AJ122" s="17" t="s">
        <v>298</v>
      </c>
      <c r="AK122" s="240" t="str">
        <f t="shared" si="45"/>
        <v>Responsive Ind</v>
      </c>
      <c r="AL122" s="240" t="str">
        <f t="shared" si="46"/>
        <v>Mayur Uniquote</v>
      </c>
      <c r="AM122" s="240" t="str">
        <f t="shared" si="47"/>
        <v>Jai Corp</v>
      </c>
      <c r="AN122" s="240" t="str">
        <f t="shared" si="48"/>
        <v>Time Technoplast</v>
      </c>
      <c r="AO122" s="240" t="str">
        <f t="shared" si="49"/>
        <v>V I P Inds.</v>
      </c>
      <c r="AP122" s="240" t="str">
        <f t="shared" si="50"/>
        <v/>
      </c>
      <c r="AQ122" s="240" t="str">
        <f t="shared" si="51"/>
        <v/>
      </c>
      <c r="AR122" s="240" t="str">
        <f t="shared" si="52"/>
        <v/>
      </c>
      <c r="AS122" s="240" t="str">
        <f t="shared" si="53"/>
        <v/>
      </c>
      <c r="AT122" s="240" t="str">
        <f t="shared" si="54"/>
        <v/>
      </c>
      <c r="AU122" s="240" t="str">
        <f t="shared" si="55"/>
        <v/>
      </c>
      <c r="AV122" s="240" t="str">
        <f t="shared" si="56"/>
        <v/>
      </c>
      <c r="AW122" s="240" t="str">
        <f t="shared" si="57"/>
        <v/>
      </c>
      <c r="AX122" s="240" t="str">
        <f t="shared" si="58"/>
        <v/>
      </c>
      <c r="AY122" s="240" t="str">
        <f t="shared" si="59"/>
        <v/>
      </c>
      <c r="AZ122" s="1"/>
    </row>
    <row r="123" spans="1:52">
      <c r="A123" s="17" t="s">
        <v>297</v>
      </c>
      <c r="B123" s="242" t="s">
        <v>444</v>
      </c>
      <c r="C123" s="242" t="s">
        <v>445</v>
      </c>
      <c r="D123" s="242"/>
      <c r="E123" s="242"/>
      <c r="F123" s="242"/>
      <c r="G123" s="242"/>
      <c r="H123" s="242"/>
      <c r="I123" s="242"/>
      <c r="J123" s="242"/>
      <c r="K123" s="242"/>
      <c r="L123" s="242"/>
      <c r="M123" s="242"/>
      <c r="N123" s="242"/>
      <c r="O123" s="17" t="s">
        <v>297</v>
      </c>
      <c r="P123" s="240">
        <v>532555</v>
      </c>
      <c r="Q123" s="240">
        <v>532898</v>
      </c>
      <c r="R123" s="240"/>
      <c r="S123" s="242"/>
      <c r="T123" s="242"/>
      <c r="U123" s="1"/>
      <c r="V123" s="1"/>
      <c r="W123" s="1"/>
      <c r="X123" s="1"/>
      <c r="Y123" s="1"/>
      <c r="Z123" s="1"/>
      <c r="AA123" s="1"/>
      <c r="AB123" s="1"/>
      <c r="AC123" s="1"/>
      <c r="AD123" s="17" t="s">
        <v>297</v>
      </c>
      <c r="AE123" s="240">
        <v>532555</v>
      </c>
      <c r="AF123" s="242" t="s">
        <v>444</v>
      </c>
      <c r="AG123" s="240">
        <v>532555</v>
      </c>
      <c r="AJ123" s="17" t="s">
        <v>297</v>
      </c>
      <c r="AK123" s="240" t="str">
        <f t="shared" si="45"/>
        <v>NTPC</v>
      </c>
      <c r="AL123" s="240" t="str">
        <f t="shared" si="46"/>
        <v>Power Grid Corpn</v>
      </c>
      <c r="AM123" s="240" t="str">
        <f t="shared" si="47"/>
        <v/>
      </c>
      <c r="AN123" s="240" t="str">
        <f t="shared" si="48"/>
        <v/>
      </c>
      <c r="AO123" s="240" t="str">
        <f t="shared" si="49"/>
        <v/>
      </c>
      <c r="AP123" s="240" t="str">
        <f t="shared" si="50"/>
        <v/>
      </c>
      <c r="AQ123" s="240" t="str">
        <f t="shared" si="51"/>
        <v/>
      </c>
      <c r="AR123" s="240" t="str">
        <f t="shared" si="52"/>
        <v/>
      </c>
      <c r="AS123" s="240" t="str">
        <f t="shared" si="53"/>
        <v/>
      </c>
      <c r="AT123" s="240" t="str">
        <f t="shared" si="54"/>
        <v/>
      </c>
      <c r="AU123" s="240" t="str">
        <f t="shared" si="55"/>
        <v/>
      </c>
      <c r="AV123" s="240" t="str">
        <f t="shared" si="56"/>
        <v/>
      </c>
      <c r="AW123" s="240" t="str">
        <f t="shared" si="57"/>
        <v/>
      </c>
      <c r="AX123" s="240" t="str">
        <f t="shared" si="58"/>
        <v/>
      </c>
      <c r="AY123" s="240" t="str">
        <f t="shared" si="59"/>
        <v/>
      </c>
      <c r="AZ123" s="1"/>
    </row>
    <row r="124" spans="1:52">
      <c r="A124" s="17" t="s">
        <v>324</v>
      </c>
      <c r="B124" s="242" t="s">
        <v>448</v>
      </c>
      <c r="C124" s="242" t="s">
        <v>446</v>
      </c>
      <c r="D124" s="242" t="s">
        <v>447</v>
      </c>
      <c r="E124" s="242"/>
      <c r="F124" s="242"/>
      <c r="G124" s="242"/>
      <c r="H124" s="242"/>
      <c r="I124" s="242"/>
      <c r="J124" s="242"/>
      <c r="K124" s="242"/>
      <c r="L124" s="242"/>
      <c r="M124" s="242"/>
      <c r="N124" s="242"/>
      <c r="O124" s="17" t="s">
        <v>324</v>
      </c>
      <c r="P124" s="240">
        <v>500400</v>
      </c>
      <c r="Q124" s="240">
        <v>533098</v>
      </c>
      <c r="R124" s="1">
        <v>532939</v>
      </c>
      <c r="S124" s="1"/>
      <c r="T124" s="1"/>
      <c r="U124" s="1"/>
      <c r="V124" s="1"/>
      <c r="W124" s="1"/>
      <c r="X124" s="1"/>
      <c r="Y124" s="1"/>
      <c r="Z124" s="1"/>
      <c r="AA124" s="1"/>
      <c r="AB124" s="1"/>
      <c r="AC124" s="1"/>
      <c r="AD124" s="17" t="s">
        <v>324</v>
      </c>
      <c r="AE124" s="240">
        <v>500400</v>
      </c>
      <c r="AF124" s="242" t="s">
        <v>448</v>
      </c>
      <c r="AG124" s="240">
        <v>500400</v>
      </c>
      <c r="AJ124" s="17" t="s">
        <v>324</v>
      </c>
      <c r="AK124" s="240" t="str">
        <f t="shared" si="45"/>
        <v>Tata Power Co.</v>
      </c>
      <c r="AL124" s="240" t="str">
        <f t="shared" si="46"/>
        <v>NHPC Ltd</v>
      </c>
      <c r="AM124" s="240" t="str">
        <f t="shared" si="47"/>
        <v>Reliance Power</v>
      </c>
      <c r="AN124" s="240" t="str">
        <f t="shared" si="48"/>
        <v/>
      </c>
      <c r="AO124" s="240" t="str">
        <f t="shared" si="49"/>
        <v/>
      </c>
      <c r="AP124" s="240" t="str">
        <f t="shared" si="50"/>
        <v/>
      </c>
      <c r="AQ124" s="240" t="str">
        <f t="shared" si="51"/>
        <v/>
      </c>
      <c r="AR124" s="240" t="str">
        <f t="shared" si="52"/>
        <v/>
      </c>
      <c r="AS124" s="240" t="str">
        <f t="shared" si="53"/>
        <v/>
      </c>
      <c r="AT124" s="240" t="str">
        <f t="shared" si="54"/>
        <v/>
      </c>
      <c r="AU124" s="240" t="str">
        <f t="shared" si="55"/>
        <v/>
      </c>
      <c r="AV124" s="240" t="str">
        <f t="shared" si="56"/>
        <v/>
      </c>
      <c r="AW124" s="240" t="str">
        <f t="shared" si="57"/>
        <v/>
      </c>
      <c r="AX124" s="240" t="str">
        <f t="shared" si="58"/>
        <v/>
      </c>
      <c r="AY124" s="240" t="str">
        <f t="shared" si="59"/>
        <v/>
      </c>
      <c r="AZ124" s="1"/>
    </row>
    <row r="125" spans="1:52">
      <c r="A125" s="17" t="s">
        <v>920</v>
      </c>
      <c r="B125" s="242" t="s">
        <v>436</v>
      </c>
      <c r="C125" s="242" t="s">
        <v>438</v>
      </c>
      <c r="D125" s="242" t="s">
        <v>437</v>
      </c>
      <c r="E125" s="242" t="s">
        <v>440</v>
      </c>
      <c r="F125" s="242" t="s">
        <v>439</v>
      </c>
      <c r="G125" s="242"/>
      <c r="H125" s="242"/>
      <c r="I125" s="242"/>
      <c r="J125" s="242"/>
      <c r="K125" s="242"/>
      <c r="L125" s="242"/>
      <c r="M125" s="242"/>
      <c r="N125" s="242"/>
      <c r="O125" s="17" t="s">
        <v>920</v>
      </c>
      <c r="P125" s="1">
        <v>500390</v>
      </c>
      <c r="Q125" s="1">
        <v>513683</v>
      </c>
      <c r="R125" s="1">
        <v>533096</v>
      </c>
      <c r="S125" s="1">
        <v>533148</v>
      </c>
      <c r="T125" s="1">
        <v>533206</v>
      </c>
      <c r="U125" s="1"/>
      <c r="V125" s="1"/>
      <c r="AD125" s="17" t="s">
        <v>920</v>
      </c>
      <c r="AE125" s="240">
        <v>500390</v>
      </c>
      <c r="AF125" s="242" t="s">
        <v>436</v>
      </c>
      <c r="AG125" s="240">
        <v>500390</v>
      </c>
      <c r="AJ125" s="17" t="s">
        <v>920</v>
      </c>
      <c r="AK125" s="240" t="str">
        <f t="shared" si="45"/>
        <v>Reliance Infra.</v>
      </c>
      <c r="AL125" s="240" t="str">
        <f t="shared" si="46"/>
        <v>Neyveli Lignite</v>
      </c>
      <c r="AM125" s="240" t="str">
        <f t="shared" si="47"/>
        <v>Adani Power</v>
      </c>
      <c r="AN125" s="240" t="str">
        <f t="shared" si="48"/>
        <v>JSW Energy</v>
      </c>
      <c r="AO125" s="240" t="str">
        <f t="shared" si="49"/>
        <v>SJVN</v>
      </c>
      <c r="AP125" s="240" t="str">
        <f t="shared" si="50"/>
        <v/>
      </c>
      <c r="AQ125" s="240" t="str">
        <f t="shared" si="51"/>
        <v/>
      </c>
      <c r="AR125" s="240" t="str">
        <f t="shared" si="52"/>
        <v/>
      </c>
      <c r="AS125" s="240" t="str">
        <f t="shared" si="53"/>
        <v/>
      </c>
      <c r="AT125" s="240" t="str">
        <f t="shared" si="54"/>
        <v/>
      </c>
      <c r="AU125" s="240" t="str">
        <f t="shared" si="55"/>
        <v/>
      </c>
      <c r="AV125" s="240" t="str">
        <f t="shared" si="56"/>
        <v/>
      </c>
      <c r="AW125" s="240" t="str">
        <f t="shared" si="57"/>
        <v/>
      </c>
      <c r="AX125" s="240" t="str">
        <f t="shared" si="58"/>
        <v/>
      </c>
      <c r="AY125" s="240" t="str">
        <f t="shared" si="59"/>
        <v/>
      </c>
      <c r="AZ125" s="1"/>
    </row>
    <row r="126" spans="1:52">
      <c r="A126" s="17" t="s">
        <v>922</v>
      </c>
      <c r="B126" s="242" t="s">
        <v>442</v>
      </c>
      <c r="C126" s="242" t="s">
        <v>443</v>
      </c>
      <c r="D126" s="242" t="s">
        <v>441</v>
      </c>
      <c r="E126" s="242" t="s">
        <v>433</v>
      </c>
      <c r="F126" s="242" t="s">
        <v>432</v>
      </c>
      <c r="G126" s="242"/>
      <c r="H126" s="242"/>
      <c r="I126" s="242"/>
      <c r="J126" s="242"/>
      <c r="K126" s="242"/>
      <c r="L126" s="242"/>
      <c r="M126" s="242"/>
      <c r="N126" s="242"/>
      <c r="O126" s="17" t="s">
        <v>922</v>
      </c>
      <c r="P126" s="240">
        <v>500084</v>
      </c>
      <c r="Q126" s="240">
        <v>532779</v>
      </c>
      <c r="R126" s="240">
        <v>532627</v>
      </c>
      <c r="S126" s="240">
        <v>533122</v>
      </c>
      <c r="T126" s="240">
        <v>532997</v>
      </c>
      <c r="U126" s="240"/>
      <c r="AD126" s="17" t="s">
        <v>922</v>
      </c>
      <c r="AE126" s="240">
        <v>500084</v>
      </c>
      <c r="AF126" s="242" t="s">
        <v>442</v>
      </c>
      <c r="AG126" s="240">
        <v>500084</v>
      </c>
      <c r="AJ126" s="17" t="s">
        <v>922</v>
      </c>
      <c r="AK126" s="240" t="str">
        <f t="shared" si="45"/>
        <v>CESC</v>
      </c>
      <c r="AL126" s="240" t="str">
        <f t="shared" si="46"/>
        <v>Torrent Power</v>
      </c>
      <c r="AM126" s="240" t="str">
        <f t="shared" si="47"/>
        <v>JP Power Ven.</v>
      </c>
      <c r="AN126" s="240" t="str">
        <f t="shared" si="48"/>
        <v>Indiabulls Power</v>
      </c>
      <c r="AO126" s="240" t="str">
        <f t="shared" si="49"/>
        <v>KSK Energy Ven.</v>
      </c>
      <c r="AP126" s="240" t="str">
        <f t="shared" si="50"/>
        <v/>
      </c>
      <c r="AQ126" s="240" t="str">
        <f t="shared" si="51"/>
        <v/>
      </c>
      <c r="AR126" s="240" t="str">
        <f t="shared" si="52"/>
        <v/>
      </c>
      <c r="AS126" s="240" t="str">
        <f t="shared" si="53"/>
        <v/>
      </c>
      <c r="AT126" s="240" t="str">
        <f t="shared" si="54"/>
        <v/>
      </c>
      <c r="AU126" s="240" t="str">
        <f t="shared" si="55"/>
        <v/>
      </c>
      <c r="AV126" s="240" t="str">
        <f t="shared" si="56"/>
        <v/>
      </c>
      <c r="AW126" s="240" t="str">
        <f t="shared" si="57"/>
        <v/>
      </c>
      <c r="AX126" s="240" t="str">
        <f t="shared" si="58"/>
        <v/>
      </c>
      <c r="AY126" s="240" t="str">
        <f t="shared" si="59"/>
        <v/>
      </c>
      <c r="AZ126" s="1"/>
    </row>
    <row r="127" spans="1:52">
      <c r="A127" s="17" t="s">
        <v>923</v>
      </c>
      <c r="B127" s="242" t="s">
        <v>435</v>
      </c>
      <c r="C127" s="242" t="s">
        <v>434</v>
      </c>
      <c r="D127" s="242" t="s">
        <v>964</v>
      </c>
      <c r="E127" s="242" t="s">
        <v>1178</v>
      </c>
      <c r="F127" s="242" t="s">
        <v>1179</v>
      </c>
      <c r="G127" s="242"/>
      <c r="H127" s="242"/>
      <c r="I127" s="242"/>
      <c r="J127" s="242"/>
      <c r="K127" s="242"/>
      <c r="L127" s="242"/>
      <c r="M127" s="242"/>
      <c r="N127" s="242"/>
      <c r="O127" s="17" t="s">
        <v>923</v>
      </c>
      <c r="P127" s="240">
        <v>532430</v>
      </c>
      <c r="Q127" s="242">
        <v>532778</v>
      </c>
      <c r="R127" s="242">
        <v>517300</v>
      </c>
      <c r="S127" s="242">
        <v>533263</v>
      </c>
      <c r="T127" s="242">
        <v>534597</v>
      </c>
      <c r="AD127" s="17" t="s">
        <v>923</v>
      </c>
      <c r="AE127" s="240">
        <v>532430</v>
      </c>
      <c r="AF127" s="242" t="s">
        <v>435</v>
      </c>
      <c r="AG127" s="240">
        <v>532430</v>
      </c>
      <c r="AJ127" s="17" t="s">
        <v>923</v>
      </c>
      <c r="AK127" s="240" t="str">
        <f t="shared" si="45"/>
        <v>BF Utilities</v>
      </c>
      <c r="AL127" s="240" t="str">
        <f t="shared" si="46"/>
        <v>Lanco Infratech</v>
      </c>
      <c r="AM127" s="240" t="str">
        <f t="shared" si="47"/>
        <v>Guj Inds. Power</v>
      </c>
      <c r="AN127" s="240" t="str">
        <f t="shared" si="48"/>
        <v>Orient Green</v>
      </c>
      <c r="AO127" s="240" t="str">
        <f t="shared" si="49"/>
        <v>RattanIndia Infr</v>
      </c>
      <c r="AP127" s="240" t="str">
        <f t="shared" si="50"/>
        <v/>
      </c>
      <c r="AQ127" s="240" t="str">
        <f t="shared" si="51"/>
        <v/>
      </c>
      <c r="AR127" s="240" t="str">
        <f t="shared" si="52"/>
        <v/>
      </c>
      <c r="AS127" s="240" t="str">
        <f t="shared" si="53"/>
        <v/>
      </c>
      <c r="AT127" s="240" t="str">
        <f t="shared" si="54"/>
        <v/>
      </c>
      <c r="AU127" s="240" t="str">
        <f t="shared" si="55"/>
        <v/>
      </c>
      <c r="AV127" s="240" t="str">
        <f t="shared" si="56"/>
        <v/>
      </c>
      <c r="AW127" s="240" t="str">
        <f t="shared" si="57"/>
        <v/>
      </c>
      <c r="AX127" s="240" t="str">
        <f t="shared" si="58"/>
        <v/>
      </c>
      <c r="AY127" s="240" t="str">
        <f t="shared" si="59"/>
        <v/>
      </c>
      <c r="AZ127" s="1"/>
    </row>
    <row r="128" spans="1:52">
      <c r="A128" s="17" t="s">
        <v>925</v>
      </c>
      <c r="B128" s="242" t="s">
        <v>450</v>
      </c>
      <c r="C128" s="242" t="s">
        <v>416</v>
      </c>
      <c r="D128" s="242" t="s">
        <v>449</v>
      </c>
      <c r="E128" s="242"/>
      <c r="F128" s="242"/>
      <c r="G128" s="242"/>
      <c r="H128" s="242"/>
      <c r="I128" s="242"/>
      <c r="J128" s="242"/>
      <c r="K128" s="242"/>
      <c r="L128" s="242"/>
      <c r="M128" s="242"/>
      <c r="N128" s="242"/>
      <c r="O128" s="17" t="s">
        <v>925</v>
      </c>
      <c r="P128" s="242">
        <v>533248</v>
      </c>
      <c r="Q128" s="242">
        <v>500620</v>
      </c>
      <c r="R128" s="242">
        <v>500630</v>
      </c>
      <c r="AD128" s="17" t="s">
        <v>925</v>
      </c>
      <c r="AE128" s="242">
        <v>533248</v>
      </c>
      <c r="AF128" s="242" t="s">
        <v>450</v>
      </c>
      <c r="AG128" s="242">
        <v>533248</v>
      </c>
      <c r="AJ128" s="17" t="s">
        <v>925</v>
      </c>
      <c r="AK128" s="240" t="str">
        <f t="shared" si="45"/>
        <v>Guj Pipavav Port</v>
      </c>
      <c r="AL128" s="240" t="str">
        <f t="shared" si="46"/>
        <v>GE Shipping Co</v>
      </c>
      <c r="AM128" s="240" t="str">
        <f t="shared" si="47"/>
        <v>Essar Ports</v>
      </c>
      <c r="AN128" s="240" t="str">
        <f t="shared" si="48"/>
        <v/>
      </c>
      <c r="AO128" s="240" t="str">
        <f t="shared" si="49"/>
        <v/>
      </c>
      <c r="AP128" s="240" t="str">
        <f t="shared" si="50"/>
        <v/>
      </c>
      <c r="AQ128" s="240" t="str">
        <f t="shared" si="51"/>
        <v/>
      </c>
      <c r="AR128" s="240" t="str">
        <f t="shared" si="52"/>
        <v/>
      </c>
      <c r="AS128" s="240" t="str">
        <f t="shared" si="53"/>
        <v/>
      </c>
      <c r="AT128" s="240" t="str">
        <f t="shared" si="54"/>
        <v/>
      </c>
      <c r="AU128" s="240" t="str">
        <f t="shared" si="55"/>
        <v/>
      </c>
      <c r="AV128" s="240" t="str">
        <f t="shared" si="56"/>
        <v/>
      </c>
      <c r="AW128" s="240" t="str">
        <f t="shared" si="57"/>
        <v/>
      </c>
      <c r="AX128" s="240" t="str">
        <f t="shared" si="58"/>
        <v/>
      </c>
      <c r="AY128" s="240" t="str">
        <f t="shared" si="59"/>
        <v/>
      </c>
      <c r="AZ128" s="1"/>
    </row>
    <row r="129" spans="1:52">
      <c r="A129" s="17" t="s">
        <v>926</v>
      </c>
      <c r="B129" s="242" t="s">
        <v>418</v>
      </c>
      <c r="C129" s="242" t="s">
        <v>417</v>
      </c>
      <c r="D129" s="242" t="s">
        <v>419</v>
      </c>
      <c r="E129" s="242" t="s">
        <v>1180</v>
      </c>
      <c r="F129" s="242"/>
      <c r="G129" s="242"/>
      <c r="H129" s="242"/>
      <c r="I129" s="242"/>
      <c r="J129" s="242"/>
      <c r="K129" s="242"/>
      <c r="L129" s="242"/>
      <c r="M129" s="242"/>
      <c r="N129" s="242"/>
      <c r="O129" s="17" t="s">
        <v>926</v>
      </c>
      <c r="P129" s="242">
        <v>523598</v>
      </c>
      <c r="Q129" s="242">
        <v>533107</v>
      </c>
      <c r="R129" s="242">
        <v>532682</v>
      </c>
      <c r="S129" s="242">
        <v>501848</v>
      </c>
      <c r="T129" s="242"/>
      <c r="U129" s="242"/>
      <c r="AD129" s="17" t="s">
        <v>926</v>
      </c>
      <c r="AE129" s="242">
        <v>523598</v>
      </c>
      <c r="AF129" s="242" t="s">
        <v>418</v>
      </c>
      <c r="AG129" s="242">
        <v>523598</v>
      </c>
      <c r="AJ129" s="17" t="s">
        <v>926</v>
      </c>
      <c r="AK129" s="240" t="str">
        <f t="shared" si="45"/>
        <v>S C I</v>
      </c>
      <c r="AL129" s="240" t="str">
        <f t="shared" si="46"/>
        <v>Pipavav Defence</v>
      </c>
      <c r="AM129" s="240" t="str">
        <f t="shared" si="47"/>
        <v>ABG Shipyard</v>
      </c>
      <c r="AN129" s="240" t="str">
        <f t="shared" si="48"/>
        <v>Global Offshore</v>
      </c>
      <c r="AO129" s="240" t="str">
        <f t="shared" si="49"/>
        <v/>
      </c>
      <c r="AP129" s="240" t="str">
        <f t="shared" si="50"/>
        <v/>
      </c>
      <c r="AQ129" s="240" t="str">
        <f t="shared" si="51"/>
        <v/>
      </c>
      <c r="AR129" s="240" t="str">
        <f t="shared" si="52"/>
        <v/>
      </c>
      <c r="AS129" s="240" t="str">
        <f t="shared" si="53"/>
        <v/>
      </c>
      <c r="AT129" s="240" t="str">
        <f t="shared" si="54"/>
        <v/>
      </c>
      <c r="AU129" s="240" t="str">
        <f t="shared" si="55"/>
        <v/>
      </c>
      <c r="AV129" s="240" t="str">
        <f t="shared" si="56"/>
        <v/>
      </c>
      <c r="AW129" s="240" t="str">
        <f t="shared" si="57"/>
        <v/>
      </c>
      <c r="AX129" s="240" t="str">
        <f t="shared" si="58"/>
        <v/>
      </c>
      <c r="AY129" s="240" t="str">
        <f t="shared" si="59"/>
        <v/>
      </c>
      <c r="AZ129" s="1"/>
    </row>
    <row r="130" spans="1:52">
      <c r="A130" s="17" t="s">
        <v>930</v>
      </c>
      <c r="B130" s="242" t="s">
        <v>415</v>
      </c>
      <c r="C130" s="242" t="s">
        <v>1181</v>
      </c>
      <c r="D130" s="242" t="s">
        <v>977</v>
      </c>
      <c r="E130" s="242" t="s">
        <v>1182</v>
      </c>
      <c r="F130" s="242"/>
      <c r="G130" s="242"/>
      <c r="H130" s="242"/>
      <c r="I130" s="242"/>
      <c r="J130" s="242"/>
      <c r="K130" s="242"/>
      <c r="L130" s="242"/>
      <c r="M130" s="242"/>
      <c r="N130" s="242"/>
      <c r="O130" s="17" t="s">
        <v>930</v>
      </c>
      <c r="P130" s="242">
        <v>526235</v>
      </c>
      <c r="Q130" s="242">
        <v>533704</v>
      </c>
      <c r="R130" s="242">
        <v>526807</v>
      </c>
      <c r="S130" s="242">
        <v>532786</v>
      </c>
      <c r="T130" s="242"/>
      <c r="AD130" s="17" t="s">
        <v>930</v>
      </c>
      <c r="AE130" s="242">
        <v>526235</v>
      </c>
      <c r="AF130" s="242" t="s">
        <v>415</v>
      </c>
      <c r="AG130" s="242">
        <v>526235</v>
      </c>
      <c r="AJ130" s="17" t="s">
        <v>930</v>
      </c>
      <c r="AK130" s="240" t="str">
        <f t="shared" si="45"/>
        <v>Mercator</v>
      </c>
      <c r="AL130" s="240" t="str">
        <f t="shared" si="46"/>
        <v>Essar Shipping</v>
      </c>
      <c r="AM130" s="240" t="str">
        <f t="shared" si="47"/>
        <v>SEAMEC Ltd</v>
      </c>
      <c r="AN130" s="240" t="str">
        <f t="shared" si="48"/>
        <v>GOL Offshore</v>
      </c>
      <c r="AO130" s="240" t="str">
        <f t="shared" si="49"/>
        <v/>
      </c>
      <c r="AP130" s="240" t="str">
        <f t="shared" si="50"/>
        <v/>
      </c>
      <c r="AQ130" s="240" t="str">
        <f t="shared" si="51"/>
        <v/>
      </c>
      <c r="AR130" s="240" t="str">
        <f t="shared" si="52"/>
        <v/>
      </c>
      <c r="AS130" s="240" t="str">
        <f t="shared" si="53"/>
        <v/>
      </c>
      <c r="AT130" s="240" t="str">
        <f t="shared" si="54"/>
        <v/>
      </c>
      <c r="AU130" s="240" t="str">
        <f t="shared" si="55"/>
        <v/>
      </c>
      <c r="AV130" s="240" t="str">
        <f t="shared" si="56"/>
        <v/>
      </c>
      <c r="AW130" s="240" t="str">
        <f t="shared" si="57"/>
        <v/>
      </c>
      <c r="AX130" s="240" t="str">
        <f t="shared" si="58"/>
        <v/>
      </c>
      <c r="AY130" s="240" t="str">
        <f t="shared" si="59"/>
        <v/>
      </c>
      <c r="AZ130" s="1"/>
    </row>
    <row r="131" spans="1:52">
      <c r="A131" s="17" t="s">
        <v>948</v>
      </c>
      <c r="B131" s="242" t="s">
        <v>426</v>
      </c>
      <c r="C131" s="242" t="s">
        <v>427</v>
      </c>
      <c r="D131" s="242" t="s">
        <v>428</v>
      </c>
      <c r="E131" s="242"/>
      <c r="F131" s="242"/>
      <c r="G131" s="242"/>
      <c r="H131" s="242"/>
      <c r="I131" s="242"/>
      <c r="J131" s="242"/>
      <c r="K131" s="242"/>
      <c r="L131" s="242"/>
      <c r="M131" s="242"/>
      <c r="N131" s="242"/>
      <c r="O131" s="17" t="s">
        <v>948</v>
      </c>
      <c r="P131" s="242">
        <v>500325</v>
      </c>
      <c r="Q131" s="242">
        <v>530965</v>
      </c>
      <c r="R131" s="242">
        <v>500547</v>
      </c>
      <c r="S131" s="242"/>
      <c r="T131" s="242"/>
      <c r="AD131" s="17" t="s">
        <v>948</v>
      </c>
      <c r="AE131" s="242">
        <v>500325</v>
      </c>
      <c r="AF131" s="242" t="s">
        <v>426</v>
      </c>
      <c r="AG131" s="242">
        <v>500325</v>
      </c>
      <c r="AJ131" s="17" t="s">
        <v>948</v>
      </c>
      <c r="AK131" s="240" t="str">
        <f t="shared" si="45"/>
        <v>Reliance Inds.</v>
      </c>
      <c r="AL131" s="240" t="str">
        <f t="shared" si="46"/>
        <v>I O C L</v>
      </c>
      <c r="AM131" s="240" t="str">
        <f t="shared" si="47"/>
        <v>B P C L</v>
      </c>
      <c r="AN131" s="240" t="str">
        <f t="shared" si="48"/>
        <v/>
      </c>
      <c r="AO131" s="240" t="str">
        <f t="shared" si="49"/>
        <v/>
      </c>
      <c r="AP131" s="240" t="str">
        <f t="shared" si="50"/>
        <v/>
      </c>
      <c r="AQ131" s="240" t="str">
        <f t="shared" si="51"/>
        <v/>
      </c>
      <c r="AR131" s="240" t="str">
        <f t="shared" si="52"/>
        <v/>
      </c>
      <c r="AS131" s="240" t="str">
        <f t="shared" si="53"/>
        <v/>
      </c>
      <c r="AT131" s="240" t="str">
        <f t="shared" si="54"/>
        <v/>
      </c>
      <c r="AU131" s="240" t="str">
        <f t="shared" si="55"/>
        <v/>
      </c>
      <c r="AV131" s="240" t="str">
        <f t="shared" si="56"/>
        <v/>
      </c>
      <c r="AW131" s="240" t="str">
        <f t="shared" si="57"/>
        <v/>
      </c>
      <c r="AX131" s="240" t="str">
        <f t="shared" si="58"/>
        <v/>
      </c>
      <c r="AY131" s="240" t="str">
        <f t="shared" si="59"/>
        <v/>
      </c>
      <c r="AZ131" s="1"/>
    </row>
    <row r="132" spans="1:52">
      <c r="A132" s="17" t="s">
        <v>949</v>
      </c>
      <c r="B132" s="242" t="s">
        <v>423</v>
      </c>
      <c r="C132" s="242" t="s">
        <v>422</v>
      </c>
      <c r="D132" s="242" t="s">
        <v>424</v>
      </c>
      <c r="E132" s="242" t="s">
        <v>425</v>
      </c>
      <c r="F132" s="242"/>
      <c r="G132" s="242"/>
      <c r="H132" s="242"/>
      <c r="I132" s="242"/>
      <c r="J132" s="242"/>
      <c r="K132" s="242"/>
      <c r="L132" s="242"/>
      <c r="M132" s="242"/>
      <c r="N132" s="242"/>
      <c r="O132" s="17" t="s">
        <v>949</v>
      </c>
      <c r="P132" s="242">
        <v>500104</v>
      </c>
      <c r="Q132" s="242">
        <v>500134</v>
      </c>
      <c r="R132" s="242">
        <v>500109</v>
      </c>
      <c r="S132" s="242">
        <v>500110</v>
      </c>
      <c r="T132" s="242"/>
      <c r="AD132" s="17" t="s">
        <v>949</v>
      </c>
      <c r="AE132" s="242">
        <v>500104</v>
      </c>
      <c r="AF132" s="242" t="s">
        <v>423</v>
      </c>
      <c r="AG132" s="242">
        <v>500104</v>
      </c>
      <c r="AJ132" s="17" t="s">
        <v>949</v>
      </c>
      <c r="AK132" s="240" t="str">
        <f t="shared" si="45"/>
        <v>H P C L</v>
      </c>
      <c r="AL132" s="240" t="str">
        <f t="shared" si="46"/>
        <v>Essar Oil</v>
      </c>
      <c r="AM132" s="240" t="str">
        <f t="shared" si="47"/>
        <v>M R P L</v>
      </c>
      <c r="AN132" s="240" t="str">
        <f t="shared" si="48"/>
        <v>C P C L</v>
      </c>
      <c r="AO132" s="240" t="str">
        <f t="shared" si="49"/>
        <v/>
      </c>
      <c r="AP132" s="240" t="str">
        <f t="shared" si="50"/>
        <v/>
      </c>
      <c r="AQ132" s="240" t="str">
        <f t="shared" si="51"/>
        <v/>
      </c>
      <c r="AR132" s="240" t="str">
        <f t="shared" si="52"/>
        <v/>
      </c>
      <c r="AS132" s="240" t="str">
        <f t="shared" si="53"/>
        <v/>
      </c>
      <c r="AT132" s="240" t="str">
        <f t="shared" si="54"/>
        <v/>
      </c>
      <c r="AU132" s="240" t="str">
        <f t="shared" si="55"/>
        <v/>
      </c>
      <c r="AV132" s="240" t="str">
        <f t="shared" si="56"/>
        <v/>
      </c>
      <c r="AW132" s="240" t="str">
        <f t="shared" si="57"/>
        <v/>
      </c>
      <c r="AX132" s="240" t="str">
        <f t="shared" si="58"/>
        <v/>
      </c>
      <c r="AY132" s="240" t="str">
        <f t="shared" si="59"/>
        <v/>
      </c>
      <c r="AZ132" s="1"/>
    </row>
    <row r="133" spans="1:52">
      <c r="A133" s="17" t="s">
        <v>950</v>
      </c>
      <c r="B133" s="242" t="s">
        <v>431</v>
      </c>
      <c r="C133" s="242" t="s">
        <v>1183</v>
      </c>
      <c r="D133" s="242" t="s">
        <v>1184</v>
      </c>
      <c r="E133" s="242"/>
      <c r="F133" s="242"/>
      <c r="G133" s="242"/>
      <c r="H133" s="242"/>
      <c r="I133" s="242"/>
      <c r="J133" s="242"/>
      <c r="K133" s="242"/>
      <c r="L133" s="242"/>
      <c r="M133" s="242"/>
      <c r="N133" s="242"/>
      <c r="O133" s="17" t="s">
        <v>950</v>
      </c>
      <c r="P133" s="242">
        <v>508989</v>
      </c>
      <c r="Q133" s="242">
        <v>532440</v>
      </c>
      <c r="R133" s="242">
        <v>523207</v>
      </c>
      <c r="S133" s="242"/>
      <c r="T133" s="242"/>
      <c r="AD133" s="17" t="s">
        <v>950</v>
      </c>
      <c r="AE133" s="242">
        <v>508989</v>
      </c>
      <c r="AF133" s="242" t="s">
        <v>431</v>
      </c>
      <c r="AG133" s="242">
        <v>508989</v>
      </c>
      <c r="AJ133" s="17" t="s">
        <v>950</v>
      </c>
      <c r="AK133" s="240" t="str">
        <f t="shared" si="45"/>
        <v>Navneet Educat.</v>
      </c>
      <c r="AL133" s="240" t="str">
        <f t="shared" si="46"/>
        <v>MPS</v>
      </c>
      <c r="AM133" s="240" t="str">
        <f t="shared" si="47"/>
        <v>Kokuyo Camlin</v>
      </c>
      <c r="AN133" s="240" t="str">
        <f t="shared" si="48"/>
        <v/>
      </c>
      <c r="AO133" s="240" t="str">
        <f t="shared" si="49"/>
        <v/>
      </c>
      <c r="AP133" s="240" t="str">
        <f t="shared" si="50"/>
        <v/>
      </c>
      <c r="AQ133" s="240" t="str">
        <f t="shared" si="51"/>
        <v/>
      </c>
      <c r="AR133" s="240" t="str">
        <f t="shared" si="52"/>
        <v/>
      </c>
      <c r="AS133" s="240" t="str">
        <f t="shared" si="53"/>
        <v/>
      </c>
      <c r="AT133" s="240" t="str">
        <f t="shared" si="54"/>
        <v/>
      </c>
      <c r="AU133" s="240" t="str">
        <f t="shared" si="55"/>
        <v/>
      </c>
      <c r="AV133" s="240" t="str">
        <f t="shared" si="56"/>
        <v/>
      </c>
      <c r="AW133" s="240" t="str">
        <f t="shared" si="57"/>
        <v/>
      </c>
      <c r="AX133" s="240" t="str">
        <f t="shared" si="58"/>
        <v/>
      </c>
      <c r="AY133" s="240" t="str">
        <f t="shared" si="59"/>
        <v/>
      </c>
      <c r="AZ133" s="1"/>
    </row>
    <row r="134" spans="1:52">
      <c r="A134" s="17" t="s">
        <v>951</v>
      </c>
      <c r="B134" s="242" t="s">
        <v>420</v>
      </c>
      <c r="C134" s="242" t="s">
        <v>421</v>
      </c>
      <c r="D134" s="242" t="s">
        <v>924</v>
      </c>
      <c r="E134" s="242" t="s">
        <v>960</v>
      </c>
      <c r="F134" s="242"/>
      <c r="G134" s="242"/>
      <c r="H134" s="242"/>
      <c r="I134" s="242"/>
      <c r="J134" s="242"/>
      <c r="K134" s="242"/>
      <c r="L134" s="242"/>
      <c r="M134" s="242"/>
      <c r="N134" s="242"/>
      <c r="O134" s="17" t="s">
        <v>951</v>
      </c>
      <c r="P134" s="242">
        <v>500251</v>
      </c>
      <c r="Q134" s="242">
        <v>532638</v>
      </c>
      <c r="R134" s="242">
        <v>523574</v>
      </c>
      <c r="S134" s="242">
        <v>536507</v>
      </c>
      <c r="T134" s="242"/>
      <c r="AD134" s="17" t="s">
        <v>951</v>
      </c>
      <c r="AE134" s="242">
        <v>500251</v>
      </c>
      <c r="AF134" s="242" t="s">
        <v>420</v>
      </c>
      <c r="AG134" s="242">
        <v>500251</v>
      </c>
      <c r="AJ134" s="17" t="s">
        <v>951</v>
      </c>
      <c r="AK134" s="240" t="str">
        <f t="shared" si="45"/>
        <v>Trent</v>
      </c>
      <c r="AL134" s="240" t="str">
        <f t="shared" si="46"/>
        <v>Shoppers St.</v>
      </c>
      <c r="AM134" s="240" t="str">
        <f t="shared" si="47"/>
        <v>Future Retail</v>
      </c>
      <c r="AN134" s="240" t="str">
        <f t="shared" si="48"/>
        <v>Future Lifestyle</v>
      </c>
      <c r="AO134" s="240" t="str">
        <f t="shared" si="49"/>
        <v/>
      </c>
      <c r="AP134" s="240" t="str">
        <f t="shared" si="50"/>
        <v/>
      </c>
      <c r="AQ134" s="240" t="str">
        <f t="shared" si="51"/>
        <v/>
      </c>
      <c r="AR134" s="240" t="str">
        <f t="shared" si="52"/>
        <v/>
      </c>
      <c r="AS134" s="240" t="str">
        <f t="shared" si="53"/>
        <v/>
      </c>
      <c r="AT134" s="240" t="str">
        <f t="shared" si="54"/>
        <v/>
      </c>
      <c r="AU134" s="240" t="str">
        <f t="shared" si="55"/>
        <v/>
      </c>
      <c r="AV134" s="240" t="str">
        <f t="shared" si="56"/>
        <v/>
      </c>
      <c r="AW134" s="240" t="str">
        <f t="shared" si="57"/>
        <v/>
      </c>
      <c r="AX134" s="240" t="str">
        <f t="shared" si="58"/>
        <v/>
      </c>
      <c r="AY134" s="240" t="str">
        <f t="shared" si="59"/>
        <v/>
      </c>
      <c r="AZ134" s="1"/>
    </row>
    <row r="135" spans="1:52">
      <c r="A135" s="17" t="s">
        <v>952</v>
      </c>
      <c r="B135" s="242" t="s">
        <v>407</v>
      </c>
      <c r="C135" s="242" t="s">
        <v>408</v>
      </c>
      <c r="D135" s="242" t="s">
        <v>410</v>
      </c>
      <c r="E135" s="242" t="s">
        <v>409</v>
      </c>
      <c r="F135" s="242"/>
      <c r="G135" s="242"/>
      <c r="H135" s="242"/>
      <c r="I135" s="242"/>
      <c r="J135" s="242"/>
      <c r="K135" s="242"/>
      <c r="L135" s="242"/>
      <c r="M135" s="242"/>
      <c r="N135" s="242"/>
      <c r="O135" s="17" t="s">
        <v>952</v>
      </c>
      <c r="P135" s="242">
        <v>500470</v>
      </c>
      <c r="Q135" s="242">
        <v>500113</v>
      </c>
      <c r="R135" s="242">
        <v>500228</v>
      </c>
      <c r="S135" s="242">
        <v>532286</v>
      </c>
      <c r="T135" s="242"/>
      <c r="AD135" s="17" t="s">
        <v>952</v>
      </c>
      <c r="AE135" s="242">
        <v>500470</v>
      </c>
      <c r="AF135" s="242" t="s">
        <v>407</v>
      </c>
      <c r="AG135" s="242">
        <v>500470</v>
      </c>
      <c r="AJ135" s="17" t="s">
        <v>952</v>
      </c>
      <c r="AK135" s="240" t="str">
        <f t="shared" ref="AK135:AK177" si="60">IFERROR(VLOOKUP(P135,$AE$2:$AF$691,2,FALSE),"")</f>
        <v>Tata Steel</v>
      </c>
      <c r="AL135" s="240" t="str">
        <f t="shared" ref="AL135:AL177" si="61">IFERROR(VLOOKUP(Q135,$AE$2:$AF$691,2,FALSE),"")</f>
        <v>S A I L</v>
      </c>
      <c r="AM135" s="240" t="str">
        <f t="shared" ref="AM135:AM177" si="62">IFERROR(VLOOKUP(R135,$AE$2:$AF$691,2,FALSE),"")</f>
        <v>JSW Steel</v>
      </c>
      <c r="AN135" s="240" t="str">
        <f t="shared" ref="AN135:AN177" si="63">IFERROR(VLOOKUP(S135,$AE$2:$AF$691,2,FALSE),"")</f>
        <v>Jindal Steel</v>
      </c>
      <c r="AO135" s="240" t="str">
        <f t="shared" ref="AO135:AO177" si="64">IFERROR(VLOOKUP(T135,$AE$2:$AF$691,2,FALSE),"")</f>
        <v/>
      </c>
      <c r="AP135" s="240" t="str">
        <f t="shared" ref="AP135:AP177" si="65">IFERROR(VLOOKUP(U135,$AE$2:$AF$691,2,FALSE),"")</f>
        <v/>
      </c>
      <c r="AQ135" s="240" t="str">
        <f t="shared" ref="AQ135:AQ177" si="66">IFERROR(VLOOKUP(V135,$AE$2:$AF$691,2,FALSE),"")</f>
        <v/>
      </c>
      <c r="AR135" s="240" t="str">
        <f t="shared" ref="AR135:AR177" si="67">IFERROR(VLOOKUP(W135,$AE$2:$AF$691,2,FALSE),"")</f>
        <v/>
      </c>
      <c r="AS135" s="240" t="str">
        <f t="shared" ref="AS135:AS177" si="68">IFERROR(VLOOKUP(X135,$AE$2:$AF$691,2,FALSE),"")</f>
        <v/>
      </c>
      <c r="AT135" s="240" t="str">
        <f t="shared" ref="AT135:AT177" si="69">IFERROR(VLOOKUP(Y135,$AE$2:$AF$691,2,FALSE),"")</f>
        <v/>
      </c>
      <c r="AU135" s="240" t="str">
        <f t="shared" ref="AU135:AU177" si="70">IFERROR(VLOOKUP(Z135,$AE$2:$AF$691,2,FALSE),"")</f>
        <v/>
      </c>
      <c r="AV135" s="240" t="str">
        <f t="shared" ref="AV135:AV177" si="71">IFERROR(VLOOKUP(AA135,$AE$2:$AF$691,2,FALSE),"")</f>
        <v/>
      </c>
      <c r="AW135" s="240" t="str">
        <f t="shared" ref="AW135:AW177" si="72">IFERROR(VLOOKUP(AB135,$AE$2:$AF$691,2,FALSE),"")</f>
        <v/>
      </c>
      <c r="AX135" s="240" t="str">
        <f t="shared" ref="AX135:AX177" si="73">IFERROR(VLOOKUP(AC135,$AE$2:$AF$691,2,FALSE),"")</f>
        <v/>
      </c>
      <c r="AY135" s="240" t="str">
        <f t="shared" ref="AY135:AY177" si="74">IFERROR(VLOOKUP(AD174,$AE$2:$AF$691,2,FALSE),"")</f>
        <v/>
      </c>
      <c r="AZ135" s="1"/>
    </row>
    <row r="136" spans="1:52">
      <c r="A136" s="17" t="s">
        <v>953</v>
      </c>
      <c r="B136" s="242" t="s">
        <v>1185</v>
      </c>
      <c r="C136" s="242" t="s">
        <v>411</v>
      </c>
      <c r="D136" s="242" t="s">
        <v>401</v>
      </c>
      <c r="E136" s="242" t="s">
        <v>398</v>
      </c>
      <c r="F136" s="242" t="s">
        <v>399</v>
      </c>
      <c r="G136" s="242"/>
      <c r="H136" s="242"/>
      <c r="I136" s="242"/>
      <c r="J136" s="242"/>
      <c r="K136" s="242"/>
      <c r="L136" s="242"/>
      <c r="M136" s="242"/>
      <c r="N136" s="242"/>
      <c r="O136" s="17" t="s">
        <v>953</v>
      </c>
      <c r="P136" s="242">
        <v>520111</v>
      </c>
      <c r="Q136" s="242">
        <v>500055</v>
      </c>
      <c r="R136" s="242">
        <v>500378</v>
      </c>
      <c r="S136" s="242">
        <v>500265</v>
      </c>
      <c r="T136" s="242">
        <v>532144</v>
      </c>
      <c r="AD136" s="17" t="s">
        <v>953</v>
      </c>
      <c r="AE136" s="242">
        <v>520111</v>
      </c>
      <c r="AF136" s="242" t="s">
        <v>1185</v>
      </c>
      <c r="AG136" s="242">
        <v>520111</v>
      </c>
      <c r="AJ136" s="17" t="s">
        <v>953</v>
      </c>
      <c r="AK136" s="240" t="str">
        <f t="shared" si="60"/>
        <v>Ratnamani Metals</v>
      </c>
      <c r="AL136" s="240" t="str">
        <f t="shared" si="61"/>
        <v>Bhushan Steel</v>
      </c>
      <c r="AM136" s="240" t="str">
        <f t="shared" si="62"/>
        <v>Jindal Saw</v>
      </c>
      <c r="AN136" s="240" t="str">
        <f t="shared" si="63"/>
        <v>Mah. Seamless</v>
      </c>
      <c r="AO136" s="240" t="str">
        <f t="shared" si="64"/>
        <v>Welspun Corp</v>
      </c>
      <c r="AP136" s="240" t="str">
        <f t="shared" si="65"/>
        <v/>
      </c>
      <c r="AQ136" s="240" t="str">
        <f t="shared" si="66"/>
        <v/>
      </c>
      <c r="AR136" s="240" t="str">
        <f t="shared" si="67"/>
        <v/>
      </c>
      <c r="AS136" s="240" t="str">
        <f t="shared" si="68"/>
        <v/>
      </c>
      <c r="AT136" s="240" t="str">
        <f t="shared" si="69"/>
        <v/>
      </c>
      <c r="AU136" s="240" t="str">
        <f t="shared" si="70"/>
        <v/>
      </c>
      <c r="AV136" s="240" t="str">
        <f t="shared" si="71"/>
        <v/>
      </c>
      <c r="AW136" s="240" t="str">
        <f t="shared" si="72"/>
        <v/>
      </c>
      <c r="AX136" s="240" t="str">
        <f t="shared" si="73"/>
        <v/>
      </c>
      <c r="AY136" s="240" t="str">
        <f t="shared" si="74"/>
        <v/>
      </c>
      <c r="AZ136" s="1"/>
    </row>
    <row r="137" spans="1:52">
      <c r="A137" s="17" t="s">
        <v>954</v>
      </c>
      <c r="B137" s="242" t="s">
        <v>1186</v>
      </c>
      <c r="C137" s="242" t="s">
        <v>402</v>
      </c>
      <c r="D137" s="242" t="s">
        <v>1187</v>
      </c>
      <c r="E137" s="242" t="s">
        <v>945</v>
      </c>
      <c r="F137" s="242" t="s">
        <v>403</v>
      </c>
      <c r="G137" s="242" t="s">
        <v>406</v>
      </c>
      <c r="H137" s="242" t="s">
        <v>1188</v>
      </c>
      <c r="I137" s="242"/>
      <c r="J137" s="242"/>
      <c r="K137" s="242"/>
      <c r="L137" s="242"/>
      <c r="M137" s="242"/>
      <c r="N137" s="242"/>
      <c r="O137" s="17" t="s">
        <v>954</v>
      </c>
      <c r="P137" s="242">
        <v>504823</v>
      </c>
      <c r="Q137" s="242">
        <v>533264</v>
      </c>
      <c r="R137" s="242">
        <v>533265</v>
      </c>
      <c r="S137" s="242">
        <v>513010</v>
      </c>
      <c r="T137" s="242">
        <v>513216</v>
      </c>
      <c r="U137" s="242">
        <v>517146</v>
      </c>
      <c r="V137" s="242">
        <v>500254</v>
      </c>
      <c r="W137" s="242"/>
      <c r="AD137" s="17" t="s">
        <v>954</v>
      </c>
      <c r="AE137" s="242">
        <v>504823</v>
      </c>
      <c r="AF137" s="242" t="s">
        <v>1186</v>
      </c>
      <c r="AG137" s="242">
        <v>504823</v>
      </c>
      <c r="AJ137" s="17" t="s">
        <v>954</v>
      </c>
      <c r="AK137" s="240" t="str">
        <f t="shared" si="60"/>
        <v>M U S C O</v>
      </c>
      <c r="AL137" s="240" t="str">
        <f t="shared" si="61"/>
        <v>Electrosteel St.</v>
      </c>
      <c r="AM137" s="240" t="str">
        <f t="shared" si="62"/>
        <v>Gallantt Ispat</v>
      </c>
      <c r="AN137" s="240" t="str">
        <f t="shared" si="63"/>
        <v>Tata Sponge Iron</v>
      </c>
      <c r="AO137" s="240" t="str">
        <f t="shared" si="64"/>
        <v>Uttam Galva</v>
      </c>
      <c r="AP137" s="240" t="str">
        <f t="shared" si="65"/>
        <v>Usha Martin</v>
      </c>
      <c r="AQ137" s="240" t="str">
        <f t="shared" si="66"/>
        <v>Uttam Value Ste.</v>
      </c>
      <c r="AR137" s="240" t="str">
        <f t="shared" si="67"/>
        <v/>
      </c>
      <c r="AS137" s="240" t="str">
        <f t="shared" si="68"/>
        <v/>
      </c>
      <c r="AT137" s="240" t="str">
        <f t="shared" si="69"/>
        <v/>
      </c>
      <c r="AU137" s="240" t="str">
        <f t="shared" si="70"/>
        <v/>
      </c>
      <c r="AV137" s="240" t="str">
        <f t="shared" si="71"/>
        <v/>
      </c>
      <c r="AW137" s="240" t="str">
        <f t="shared" si="72"/>
        <v/>
      </c>
      <c r="AX137" s="240" t="str">
        <f t="shared" si="73"/>
        <v/>
      </c>
      <c r="AY137" s="240" t="str">
        <f t="shared" si="74"/>
        <v/>
      </c>
      <c r="AZ137" s="1"/>
    </row>
    <row r="138" spans="1:52">
      <c r="A138" s="17" t="s">
        <v>955</v>
      </c>
      <c r="B138" s="242" t="s">
        <v>1189</v>
      </c>
      <c r="C138" s="242" t="s">
        <v>400</v>
      </c>
      <c r="D138" s="242" t="s">
        <v>405</v>
      </c>
      <c r="E138" s="242" t="s">
        <v>404</v>
      </c>
      <c r="F138" s="242" t="s">
        <v>1190</v>
      </c>
      <c r="G138" s="242"/>
      <c r="H138" s="242"/>
      <c r="I138" s="242"/>
      <c r="J138" s="242"/>
      <c r="K138" s="242"/>
      <c r="L138" s="242"/>
      <c r="M138" s="242"/>
      <c r="N138" s="242"/>
      <c r="O138" s="17" t="s">
        <v>955</v>
      </c>
      <c r="P138" s="242">
        <v>500245</v>
      </c>
      <c r="Q138" s="242">
        <v>506022</v>
      </c>
      <c r="R138" s="242">
        <v>532508</v>
      </c>
      <c r="S138" s="242">
        <v>513446</v>
      </c>
      <c r="T138" s="242">
        <v>513269</v>
      </c>
      <c r="AD138" s="17" t="s">
        <v>955</v>
      </c>
      <c r="AE138" s="242">
        <v>500245</v>
      </c>
      <c r="AF138" s="242" t="s">
        <v>1189</v>
      </c>
      <c r="AG138" s="242">
        <v>500245</v>
      </c>
      <c r="AJ138" s="17" t="s">
        <v>955</v>
      </c>
      <c r="AK138" s="240" t="str">
        <f t="shared" si="60"/>
        <v>Kirl. Ferrous</v>
      </c>
      <c r="AL138" s="240" t="str">
        <f t="shared" si="61"/>
        <v>Prakash Inds.</v>
      </c>
      <c r="AM138" s="240" t="str">
        <f t="shared" si="62"/>
        <v>Jindal Stain.</v>
      </c>
      <c r="AN138" s="240" t="str">
        <f t="shared" si="63"/>
        <v>Monnet Ispat</v>
      </c>
      <c r="AO138" s="240" t="str">
        <f t="shared" si="64"/>
        <v>Man Inds.</v>
      </c>
      <c r="AP138" s="240" t="str">
        <f t="shared" si="65"/>
        <v/>
      </c>
      <c r="AQ138" s="240" t="str">
        <f t="shared" si="66"/>
        <v/>
      </c>
      <c r="AR138" s="240" t="str">
        <f t="shared" si="67"/>
        <v/>
      </c>
      <c r="AS138" s="240" t="str">
        <f t="shared" si="68"/>
        <v/>
      </c>
      <c r="AT138" s="240" t="str">
        <f t="shared" si="69"/>
        <v/>
      </c>
      <c r="AU138" s="240" t="str">
        <f t="shared" si="70"/>
        <v/>
      </c>
      <c r="AV138" s="240" t="str">
        <f t="shared" si="71"/>
        <v/>
      </c>
      <c r="AW138" s="240" t="str">
        <f t="shared" si="72"/>
        <v/>
      </c>
      <c r="AX138" s="240" t="str">
        <f t="shared" si="73"/>
        <v/>
      </c>
      <c r="AY138" s="240" t="str">
        <f t="shared" si="74"/>
        <v/>
      </c>
      <c r="AZ138" s="1"/>
    </row>
    <row r="139" spans="1:52">
      <c r="A139" s="17" t="s">
        <v>956</v>
      </c>
      <c r="B139" s="242" t="s">
        <v>1191</v>
      </c>
      <c r="C139" s="242" t="s">
        <v>982</v>
      </c>
      <c r="D139" s="242" t="s">
        <v>1192</v>
      </c>
      <c r="E139" s="242"/>
      <c r="F139" s="242"/>
      <c r="G139" s="242"/>
      <c r="H139" s="242"/>
      <c r="I139" s="242"/>
      <c r="J139" s="242"/>
      <c r="K139" s="242"/>
      <c r="L139" s="242"/>
      <c r="M139" s="242"/>
      <c r="N139" s="242"/>
      <c r="O139" s="17" t="s">
        <v>956</v>
      </c>
      <c r="P139" s="242">
        <v>533309</v>
      </c>
      <c r="Q139" s="242">
        <v>520113</v>
      </c>
      <c r="R139" s="242">
        <v>534076</v>
      </c>
      <c r="S139" s="242"/>
      <c r="T139" s="242"/>
      <c r="AD139" s="17" t="s">
        <v>956</v>
      </c>
      <c r="AE139" s="242">
        <v>533309</v>
      </c>
      <c r="AF139" s="242" t="s">
        <v>1191</v>
      </c>
      <c r="AG139" s="242">
        <v>533309</v>
      </c>
      <c r="AJ139" s="17" t="s">
        <v>956</v>
      </c>
      <c r="AK139" s="240" t="str">
        <f t="shared" si="60"/>
        <v>Dalmia Bhar.</v>
      </c>
      <c r="AL139" s="240" t="str">
        <f t="shared" si="61"/>
        <v>Vesuvius India</v>
      </c>
      <c r="AM139" s="240" t="str">
        <f t="shared" si="62"/>
        <v>Orient Refrac.</v>
      </c>
      <c r="AN139" s="240" t="str">
        <f t="shared" si="63"/>
        <v/>
      </c>
      <c r="AO139" s="240" t="str">
        <f t="shared" si="64"/>
        <v/>
      </c>
      <c r="AP139" s="240" t="str">
        <f t="shared" si="65"/>
        <v/>
      </c>
      <c r="AQ139" s="240" t="str">
        <f t="shared" si="66"/>
        <v/>
      </c>
      <c r="AR139" s="240" t="str">
        <f t="shared" si="67"/>
        <v/>
      </c>
      <c r="AS139" s="240" t="str">
        <f t="shared" si="68"/>
        <v/>
      </c>
      <c r="AT139" s="240" t="str">
        <f t="shared" si="69"/>
        <v/>
      </c>
      <c r="AU139" s="240" t="str">
        <f t="shared" si="70"/>
        <v/>
      </c>
      <c r="AV139" s="240" t="str">
        <f t="shared" si="71"/>
        <v/>
      </c>
      <c r="AW139" s="240" t="str">
        <f t="shared" si="72"/>
        <v/>
      </c>
      <c r="AX139" s="240" t="str">
        <f t="shared" si="73"/>
        <v/>
      </c>
      <c r="AY139" s="240" t="str">
        <f t="shared" si="74"/>
        <v/>
      </c>
      <c r="AZ139" s="1"/>
    </row>
    <row r="140" spans="1:52">
      <c r="A140" s="17" t="s">
        <v>1195</v>
      </c>
      <c r="B140" s="242" t="s">
        <v>394</v>
      </c>
      <c r="C140" s="242" t="s">
        <v>395</v>
      </c>
      <c r="D140" s="242" t="s">
        <v>396</v>
      </c>
      <c r="E140" s="242" t="s">
        <v>397</v>
      </c>
      <c r="F140" s="242" t="s">
        <v>1196</v>
      </c>
      <c r="G140" s="242"/>
      <c r="H140" s="242"/>
      <c r="I140" s="242"/>
      <c r="J140" s="242"/>
      <c r="K140" s="242"/>
      <c r="L140" s="242"/>
      <c r="M140" s="242"/>
      <c r="N140" s="242"/>
      <c r="O140" s="17" t="s">
        <v>1195</v>
      </c>
      <c r="P140" s="242">
        <v>500125</v>
      </c>
      <c r="Q140" s="242">
        <v>532670</v>
      </c>
      <c r="R140" s="242">
        <v>500038</v>
      </c>
      <c r="S140" s="242">
        <v>500032</v>
      </c>
      <c r="T140" s="242">
        <v>523369</v>
      </c>
      <c r="U140" s="242"/>
      <c r="V140" s="242"/>
      <c r="W140" s="242"/>
      <c r="AD140" s="17" t="s">
        <v>1195</v>
      </c>
      <c r="AE140" s="242">
        <v>500125</v>
      </c>
      <c r="AF140" s="242" t="s">
        <v>394</v>
      </c>
      <c r="AG140" s="242">
        <v>500125</v>
      </c>
      <c r="AJ140" s="17" t="s">
        <v>1195</v>
      </c>
      <c r="AK140" s="240" t="str">
        <f t="shared" si="60"/>
        <v>EID Parry</v>
      </c>
      <c r="AL140" s="240" t="str">
        <f t="shared" si="61"/>
        <v>Sh.Renuka Sugar</v>
      </c>
      <c r="AM140" s="240" t="str">
        <f t="shared" si="62"/>
        <v>Balrampur Chini</v>
      </c>
      <c r="AN140" s="240" t="str">
        <f t="shared" si="63"/>
        <v>Bajaj Hindusthan</v>
      </c>
      <c r="AO140" s="240" t="str">
        <f t="shared" si="64"/>
        <v>DCM Shriram Inds</v>
      </c>
      <c r="AP140" s="240" t="str">
        <f t="shared" si="65"/>
        <v/>
      </c>
      <c r="AQ140" s="240" t="str">
        <f t="shared" si="66"/>
        <v/>
      </c>
      <c r="AR140" s="240" t="str">
        <f t="shared" si="67"/>
        <v/>
      </c>
      <c r="AS140" s="240" t="str">
        <f t="shared" si="68"/>
        <v/>
      </c>
      <c r="AT140" s="240" t="str">
        <f t="shared" si="69"/>
        <v/>
      </c>
      <c r="AU140" s="240" t="str">
        <f t="shared" si="70"/>
        <v/>
      </c>
      <c r="AV140" s="240" t="str">
        <f t="shared" si="71"/>
        <v/>
      </c>
      <c r="AW140" s="240" t="str">
        <f t="shared" si="72"/>
        <v/>
      </c>
      <c r="AX140" s="240" t="str">
        <f t="shared" si="73"/>
        <v/>
      </c>
      <c r="AY140" s="240" t="str">
        <f t="shared" si="74"/>
        <v/>
      </c>
      <c r="AZ140" s="1"/>
    </row>
    <row r="141" spans="1:52">
      <c r="A141" s="17" t="s">
        <v>1197</v>
      </c>
      <c r="B141" s="242" t="s">
        <v>391</v>
      </c>
      <c r="C141" s="242" t="s">
        <v>392</v>
      </c>
      <c r="D141" s="242"/>
      <c r="E141" s="242"/>
      <c r="F141" s="242"/>
      <c r="G141" s="242"/>
      <c r="H141" s="242"/>
      <c r="I141" s="242"/>
      <c r="J141" s="242"/>
      <c r="K141" s="242"/>
      <c r="L141" s="242"/>
      <c r="M141" s="242"/>
      <c r="N141" s="242"/>
      <c r="O141" s="17" t="s">
        <v>1197</v>
      </c>
      <c r="P141" s="242">
        <v>500800</v>
      </c>
      <c r="Q141" s="242">
        <v>532654</v>
      </c>
      <c r="R141" s="242"/>
      <c r="S141" s="242"/>
      <c r="T141" s="242"/>
      <c r="U141" s="242"/>
      <c r="V141" s="242"/>
      <c r="W141" s="242"/>
      <c r="AD141" s="17" t="s">
        <v>1197</v>
      </c>
      <c r="AE141" s="242">
        <v>500800</v>
      </c>
      <c r="AF141" s="242" t="s">
        <v>391</v>
      </c>
      <c r="AG141" s="242">
        <v>500800</v>
      </c>
      <c r="AJ141" s="17" t="s">
        <v>1197</v>
      </c>
      <c r="AK141" s="240" t="str">
        <f t="shared" si="60"/>
        <v>Tata Global</v>
      </c>
      <c r="AL141" s="240" t="str">
        <f t="shared" si="61"/>
        <v>Mcleod Russel</v>
      </c>
      <c r="AM141" s="240" t="str">
        <f t="shared" si="62"/>
        <v/>
      </c>
      <c r="AN141" s="240" t="str">
        <f t="shared" si="63"/>
        <v/>
      </c>
      <c r="AO141" s="240" t="str">
        <f t="shared" si="64"/>
        <v/>
      </c>
      <c r="AP141" s="240" t="str">
        <f t="shared" si="65"/>
        <v/>
      </c>
      <c r="AQ141" s="240" t="str">
        <f t="shared" si="66"/>
        <v/>
      </c>
      <c r="AR141" s="240" t="str">
        <f t="shared" si="67"/>
        <v/>
      </c>
      <c r="AS141" s="240" t="str">
        <f t="shared" si="68"/>
        <v/>
      </c>
      <c r="AT141" s="240" t="str">
        <f t="shared" si="69"/>
        <v/>
      </c>
      <c r="AU141" s="240" t="str">
        <f t="shared" si="70"/>
        <v/>
      </c>
      <c r="AV141" s="240" t="str">
        <f t="shared" si="71"/>
        <v/>
      </c>
      <c r="AW141" s="240" t="str">
        <f t="shared" si="72"/>
        <v/>
      </c>
      <c r="AX141" s="240" t="str">
        <f t="shared" si="73"/>
        <v/>
      </c>
      <c r="AY141" s="240" t="str">
        <f t="shared" si="74"/>
        <v/>
      </c>
      <c r="AZ141" s="1"/>
    </row>
    <row r="142" spans="1:52">
      <c r="A142" s="17" t="s">
        <v>1198</v>
      </c>
      <c r="B142" s="242" t="s">
        <v>376</v>
      </c>
      <c r="C142" s="242" t="s">
        <v>969</v>
      </c>
      <c r="D142" s="242" t="s">
        <v>393</v>
      </c>
      <c r="E142" s="242"/>
      <c r="F142" s="242"/>
      <c r="G142" s="242"/>
      <c r="H142" s="242"/>
      <c r="I142" s="242"/>
      <c r="J142" s="242"/>
      <c r="K142" s="242"/>
      <c r="L142" s="242"/>
      <c r="M142" s="242"/>
      <c r="N142" s="242"/>
      <c r="O142" s="17" t="s">
        <v>1198</v>
      </c>
      <c r="P142" s="242">
        <v>501425</v>
      </c>
      <c r="Q142" s="242">
        <v>519600</v>
      </c>
      <c r="R142" s="242">
        <v>532301</v>
      </c>
      <c r="S142" s="242"/>
      <c r="T142" s="242"/>
      <c r="U142" s="242"/>
      <c r="V142" s="242"/>
      <c r="W142" s="242"/>
      <c r="AD142" s="17" t="s">
        <v>1198</v>
      </c>
      <c r="AE142" s="242">
        <v>501425</v>
      </c>
      <c r="AF142" s="242" t="s">
        <v>376</v>
      </c>
      <c r="AG142" s="242">
        <v>501425</v>
      </c>
      <c r="AJ142" s="17" t="s">
        <v>1198</v>
      </c>
      <c r="AK142" s="240" t="str">
        <f t="shared" si="60"/>
        <v>Bombay Burmah</v>
      </c>
      <c r="AL142" s="240" t="str">
        <f t="shared" si="61"/>
        <v>CCL Products</v>
      </c>
      <c r="AM142" s="240" t="str">
        <f t="shared" si="62"/>
        <v>Tata Coffee</v>
      </c>
      <c r="AN142" s="240" t="str">
        <f t="shared" si="63"/>
        <v/>
      </c>
      <c r="AO142" s="240" t="str">
        <f t="shared" si="64"/>
        <v/>
      </c>
      <c r="AP142" s="240" t="str">
        <f t="shared" si="65"/>
        <v/>
      </c>
      <c r="AQ142" s="240" t="str">
        <f t="shared" si="66"/>
        <v/>
      </c>
      <c r="AR142" s="240" t="str">
        <f t="shared" si="67"/>
        <v/>
      </c>
      <c r="AS142" s="240" t="str">
        <f t="shared" si="68"/>
        <v/>
      </c>
      <c r="AT142" s="240" t="str">
        <f t="shared" si="69"/>
        <v/>
      </c>
      <c r="AU142" s="240" t="str">
        <f t="shared" si="70"/>
        <v/>
      </c>
      <c r="AV142" s="240" t="str">
        <f t="shared" si="71"/>
        <v/>
      </c>
      <c r="AW142" s="240" t="str">
        <f t="shared" si="72"/>
        <v/>
      </c>
      <c r="AX142" s="240" t="str">
        <f t="shared" si="73"/>
        <v/>
      </c>
      <c r="AY142" s="240" t="str">
        <f t="shared" si="74"/>
        <v/>
      </c>
      <c r="AZ142" s="1"/>
    </row>
    <row r="143" spans="1:52">
      <c r="A143" s="17" t="s">
        <v>1199</v>
      </c>
      <c r="B143" s="242" t="s">
        <v>387</v>
      </c>
      <c r="C143" s="242" t="s">
        <v>388</v>
      </c>
      <c r="D143" s="242" t="s">
        <v>389</v>
      </c>
      <c r="E143" s="242" t="s">
        <v>390</v>
      </c>
      <c r="F143" s="242"/>
      <c r="G143" s="242"/>
      <c r="H143" s="242"/>
      <c r="I143" s="242"/>
      <c r="J143" s="242"/>
      <c r="K143" s="242"/>
      <c r="L143" s="242"/>
      <c r="M143" s="242"/>
      <c r="N143" s="242"/>
      <c r="O143" s="17" t="s">
        <v>1199</v>
      </c>
      <c r="P143" s="242">
        <v>532454</v>
      </c>
      <c r="Q143" s="242">
        <v>532822</v>
      </c>
      <c r="R143" s="242">
        <v>532712</v>
      </c>
      <c r="S143" s="242">
        <v>500483</v>
      </c>
      <c r="T143" s="242"/>
      <c r="U143" s="242"/>
      <c r="V143" s="242"/>
      <c r="W143" s="242"/>
      <c r="AD143" s="17" t="s">
        <v>1199</v>
      </c>
      <c r="AE143" s="242">
        <v>532454</v>
      </c>
      <c r="AF143" s="242" t="s">
        <v>387</v>
      </c>
      <c r="AG143" s="242">
        <v>532454</v>
      </c>
      <c r="AJ143" s="17" t="s">
        <v>1199</v>
      </c>
      <c r="AK143" s="240" t="str">
        <f t="shared" si="60"/>
        <v>Bharti Airtel</v>
      </c>
      <c r="AL143" s="240" t="str">
        <f t="shared" si="61"/>
        <v>Idea Cellular</v>
      </c>
      <c r="AM143" s="240" t="str">
        <f t="shared" si="62"/>
        <v>Rel. Comm.</v>
      </c>
      <c r="AN143" s="240" t="str">
        <f t="shared" si="63"/>
        <v>Tata Comm</v>
      </c>
      <c r="AO143" s="240" t="str">
        <f t="shared" si="64"/>
        <v/>
      </c>
      <c r="AP143" s="240" t="str">
        <f t="shared" si="65"/>
        <v/>
      </c>
      <c r="AQ143" s="240" t="str">
        <f t="shared" si="66"/>
        <v/>
      </c>
      <c r="AR143" s="240" t="str">
        <f t="shared" si="67"/>
        <v/>
      </c>
      <c r="AS143" s="240" t="str">
        <f t="shared" si="68"/>
        <v/>
      </c>
      <c r="AT143" s="240" t="str">
        <f t="shared" si="69"/>
        <v/>
      </c>
      <c r="AU143" s="240" t="str">
        <f t="shared" si="70"/>
        <v/>
      </c>
      <c r="AV143" s="240" t="str">
        <f t="shared" si="71"/>
        <v/>
      </c>
      <c r="AW143" s="240" t="str">
        <f t="shared" si="72"/>
        <v/>
      </c>
      <c r="AX143" s="240" t="str">
        <f t="shared" si="73"/>
        <v/>
      </c>
      <c r="AY143" s="240" t="str">
        <f t="shared" si="74"/>
        <v/>
      </c>
      <c r="AZ143" s="1"/>
    </row>
    <row r="144" spans="1:52">
      <c r="A144" s="17" t="s">
        <v>1200</v>
      </c>
      <c r="B144" s="242" t="s">
        <v>385</v>
      </c>
      <c r="C144" s="242" t="s">
        <v>384</v>
      </c>
      <c r="D144" s="242" t="s">
        <v>386</v>
      </c>
      <c r="E144" s="242"/>
      <c r="F144" s="242"/>
      <c r="G144" s="242"/>
      <c r="H144" s="242"/>
      <c r="I144" s="242"/>
      <c r="J144" s="242"/>
      <c r="K144" s="242"/>
      <c r="L144" s="242"/>
      <c r="M144" s="242"/>
      <c r="N144" s="242"/>
      <c r="O144" s="17" t="s">
        <v>1200</v>
      </c>
      <c r="P144" s="242">
        <v>500108</v>
      </c>
      <c r="Q144" s="242">
        <v>532371</v>
      </c>
      <c r="R144" s="242">
        <v>532944</v>
      </c>
      <c r="S144" s="242"/>
      <c r="T144" s="242"/>
      <c r="U144" s="242"/>
      <c r="V144" s="242"/>
      <c r="W144" s="242"/>
      <c r="AD144" s="17" t="s">
        <v>1200</v>
      </c>
      <c r="AE144" s="242">
        <v>500108</v>
      </c>
      <c r="AF144" s="242" t="s">
        <v>385</v>
      </c>
      <c r="AG144" s="242">
        <v>500108</v>
      </c>
      <c r="AJ144" s="17" t="s">
        <v>1200</v>
      </c>
      <c r="AK144" s="240" t="str">
        <f t="shared" si="60"/>
        <v>M T N L</v>
      </c>
      <c r="AL144" s="240" t="str">
        <f t="shared" si="61"/>
        <v>Tata Tele. Mah.</v>
      </c>
      <c r="AM144" s="240" t="str">
        <f t="shared" si="62"/>
        <v>OnMobile Global</v>
      </c>
      <c r="AN144" s="240" t="str">
        <f t="shared" si="63"/>
        <v/>
      </c>
      <c r="AO144" s="240" t="str">
        <f t="shared" si="64"/>
        <v/>
      </c>
      <c r="AP144" s="240" t="str">
        <f t="shared" si="65"/>
        <v/>
      </c>
      <c r="AQ144" s="240" t="str">
        <f t="shared" si="66"/>
        <v/>
      </c>
      <c r="AR144" s="240" t="str">
        <f t="shared" si="67"/>
        <v/>
      </c>
      <c r="AS144" s="240" t="str">
        <f t="shared" si="68"/>
        <v/>
      </c>
      <c r="AT144" s="240" t="str">
        <f t="shared" si="69"/>
        <v/>
      </c>
      <c r="AU144" s="240" t="str">
        <f t="shared" si="70"/>
        <v/>
      </c>
      <c r="AV144" s="240" t="str">
        <f t="shared" si="71"/>
        <v/>
      </c>
      <c r="AW144" s="240" t="str">
        <f t="shared" si="72"/>
        <v/>
      </c>
      <c r="AX144" s="240" t="str">
        <f t="shared" si="73"/>
        <v/>
      </c>
      <c r="AY144" s="240" t="str">
        <f t="shared" si="74"/>
        <v/>
      </c>
      <c r="AZ144" s="1"/>
    </row>
    <row r="145" spans="1:52">
      <c r="A145" s="17" t="s">
        <v>1201</v>
      </c>
      <c r="B145" s="242" t="s">
        <v>382</v>
      </c>
      <c r="C145" s="242" t="s">
        <v>986</v>
      </c>
      <c r="D145" s="242" t="s">
        <v>383</v>
      </c>
      <c r="E145" s="242"/>
      <c r="F145" s="242"/>
      <c r="G145" s="242"/>
      <c r="H145" s="242"/>
      <c r="I145" s="242"/>
      <c r="J145" s="242"/>
      <c r="K145" s="242"/>
      <c r="L145" s="242"/>
      <c r="M145" s="242"/>
      <c r="N145" s="242"/>
      <c r="O145" s="17" t="s">
        <v>1201</v>
      </c>
      <c r="P145" s="242">
        <v>500183</v>
      </c>
      <c r="Q145" s="242">
        <v>532493</v>
      </c>
      <c r="R145" s="242">
        <v>532775</v>
      </c>
      <c r="S145" s="242"/>
      <c r="T145" s="242"/>
      <c r="U145" s="242"/>
      <c r="V145" s="242"/>
      <c r="W145" s="242"/>
      <c r="AD145" s="17" t="s">
        <v>1201</v>
      </c>
      <c r="AE145" s="242">
        <v>500183</v>
      </c>
      <c r="AF145" s="242" t="s">
        <v>382</v>
      </c>
      <c r="AG145" s="242">
        <v>500183</v>
      </c>
      <c r="AJ145" s="17" t="s">
        <v>1201</v>
      </c>
      <c r="AK145" s="240" t="str">
        <f t="shared" si="60"/>
        <v>H F C L</v>
      </c>
      <c r="AL145" s="240" t="str">
        <f t="shared" si="61"/>
        <v>Astra Microwave</v>
      </c>
      <c r="AM145" s="240" t="str">
        <f t="shared" si="62"/>
        <v>GTL Infra.</v>
      </c>
      <c r="AN145" s="240" t="str">
        <f t="shared" si="63"/>
        <v/>
      </c>
      <c r="AO145" s="240" t="str">
        <f t="shared" si="64"/>
        <v/>
      </c>
      <c r="AP145" s="240" t="str">
        <f t="shared" si="65"/>
        <v/>
      </c>
      <c r="AQ145" s="240" t="str">
        <f t="shared" si="66"/>
        <v/>
      </c>
      <c r="AR145" s="240" t="str">
        <f t="shared" si="67"/>
        <v/>
      </c>
      <c r="AS145" s="240" t="str">
        <f t="shared" si="68"/>
        <v/>
      </c>
      <c r="AT145" s="240" t="str">
        <f t="shared" si="69"/>
        <v/>
      </c>
      <c r="AU145" s="240" t="str">
        <f t="shared" si="70"/>
        <v/>
      </c>
      <c r="AV145" s="240" t="str">
        <f t="shared" si="71"/>
        <v/>
      </c>
      <c r="AW145" s="240" t="str">
        <f t="shared" si="72"/>
        <v/>
      </c>
      <c r="AX145" s="240" t="str">
        <f t="shared" si="73"/>
        <v/>
      </c>
      <c r="AY145" s="240" t="str">
        <f t="shared" si="74"/>
        <v/>
      </c>
      <c r="AZ145" s="1"/>
    </row>
    <row r="146" spans="1:52">
      <c r="A146" s="17" t="s">
        <v>1202</v>
      </c>
      <c r="B146" s="242" t="s">
        <v>377</v>
      </c>
      <c r="C146" s="242"/>
      <c r="D146" s="242"/>
      <c r="E146" s="242"/>
      <c r="F146" s="242"/>
      <c r="G146" s="242"/>
      <c r="H146" s="242"/>
      <c r="I146" s="242"/>
      <c r="J146" s="242"/>
      <c r="K146" s="242"/>
      <c r="L146" s="242"/>
      <c r="M146" s="242"/>
      <c r="N146" s="242"/>
      <c r="O146" s="17" t="s">
        <v>1202</v>
      </c>
      <c r="P146" s="242">
        <v>512599</v>
      </c>
      <c r="Q146" s="242"/>
      <c r="R146" s="242"/>
      <c r="S146" s="242"/>
      <c r="T146" s="242"/>
      <c r="U146" s="242"/>
      <c r="V146" s="242"/>
      <c r="W146" s="242"/>
      <c r="AD146" s="17" t="s">
        <v>1202</v>
      </c>
      <c r="AE146" s="242">
        <v>512599</v>
      </c>
      <c r="AF146" s="242" t="s">
        <v>377</v>
      </c>
      <c r="AG146" s="242">
        <v>512599</v>
      </c>
      <c r="AJ146" s="17" t="s">
        <v>1202</v>
      </c>
      <c r="AK146" s="240" t="str">
        <f t="shared" si="60"/>
        <v>Adani Enterp.</v>
      </c>
      <c r="AL146" s="240" t="str">
        <f t="shared" si="61"/>
        <v/>
      </c>
      <c r="AM146" s="240" t="str">
        <f t="shared" si="62"/>
        <v/>
      </c>
      <c r="AN146" s="240" t="str">
        <f t="shared" si="63"/>
        <v/>
      </c>
      <c r="AO146" s="240" t="str">
        <f t="shared" si="64"/>
        <v/>
      </c>
      <c r="AP146" s="240" t="str">
        <f t="shared" si="65"/>
        <v/>
      </c>
      <c r="AQ146" s="240" t="str">
        <f t="shared" si="66"/>
        <v/>
      </c>
      <c r="AR146" s="240" t="str">
        <f t="shared" si="67"/>
        <v/>
      </c>
      <c r="AS146" s="240" t="str">
        <f t="shared" si="68"/>
        <v/>
      </c>
      <c r="AT146" s="240" t="str">
        <f t="shared" si="69"/>
        <v/>
      </c>
      <c r="AU146" s="240" t="str">
        <f t="shared" si="70"/>
        <v/>
      </c>
      <c r="AV146" s="240" t="str">
        <f t="shared" si="71"/>
        <v/>
      </c>
      <c r="AW146" s="240" t="str">
        <f t="shared" si="72"/>
        <v/>
      </c>
      <c r="AX146" s="240" t="str">
        <f t="shared" si="73"/>
        <v/>
      </c>
      <c r="AY146" s="240" t="str">
        <f t="shared" si="74"/>
        <v/>
      </c>
      <c r="AZ146" s="1"/>
    </row>
    <row r="147" spans="1:52">
      <c r="A147" s="17" t="s">
        <v>1203</v>
      </c>
      <c r="B147" s="242" t="s">
        <v>379</v>
      </c>
      <c r="C147" s="242" t="s">
        <v>378</v>
      </c>
      <c r="D147" s="242" t="s">
        <v>373</v>
      </c>
      <c r="E147" s="242" t="s">
        <v>375</v>
      </c>
      <c r="F147" s="242"/>
      <c r="G147" s="242"/>
      <c r="H147" s="242"/>
      <c r="I147" s="242"/>
      <c r="J147" s="242"/>
      <c r="K147" s="242"/>
      <c r="L147" s="242"/>
      <c r="M147" s="242"/>
      <c r="N147" s="242"/>
      <c r="O147" s="17" t="s">
        <v>1203</v>
      </c>
      <c r="P147" s="242">
        <v>523395</v>
      </c>
      <c r="Q147" s="242">
        <v>513377</v>
      </c>
      <c r="R147" s="242">
        <v>532524</v>
      </c>
      <c r="S147" s="242">
        <v>512531</v>
      </c>
      <c r="T147" s="242"/>
      <c r="U147" s="242"/>
      <c r="V147" s="242"/>
      <c r="W147" s="242"/>
      <c r="AD147" s="17" t="s">
        <v>1203</v>
      </c>
      <c r="AE147" s="242">
        <v>523395</v>
      </c>
      <c r="AF147" s="242" t="s">
        <v>379</v>
      </c>
      <c r="AG147" s="242">
        <v>523395</v>
      </c>
      <c r="AJ147" s="17" t="s">
        <v>1203</v>
      </c>
      <c r="AK147" s="240" t="str">
        <f t="shared" si="60"/>
        <v>3M India</v>
      </c>
      <c r="AL147" s="240" t="str">
        <f t="shared" si="61"/>
        <v>MMTC</v>
      </c>
      <c r="AM147" s="240" t="str">
        <f t="shared" si="62"/>
        <v>PTC India</v>
      </c>
      <c r="AN147" s="240" t="str">
        <f t="shared" si="63"/>
        <v>S T C</v>
      </c>
      <c r="AO147" s="240" t="str">
        <f t="shared" si="64"/>
        <v/>
      </c>
      <c r="AP147" s="240" t="str">
        <f t="shared" si="65"/>
        <v/>
      </c>
      <c r="AQ147" s="240" t="str">
        <f t="shared" si="66"/>
        <v/>
      </c>
      <c r="AR147" s="240" t="str">
        <f t="shared" si="67"/>
        <v/>
      </c>
      <c r="AS147" s="240" t="str">
        <f t="shared" si="68"/>
        <v/>
      </c>
      <c r="AT147" s="240" t="str">
        <f t="shared" si="69"/>
        <v/>
      </c>
      <c r="AU147" s="240" t="str">
        <f t="shared" si="70"/>
        <v/>
      </c>
      <c r="AV147" s="240" t="str">
        <f t="shared" si="71"/>
        <v/>
      </c>
      <c r="AW147" s="240" t="str">
        <f t="shared" si="72"/>
        <v/>
      </c>
      <c r="AX147" s="240" t="str">
        <f t="shared" si="73"/>
        <v/>
      </c>
      <c r="AY147" s="240" t="str">
        <f t="shared" si="74"/>
        <v/>
      </c>
      <c r="AZ147" s="1"/>
    </row>
    <row r="148" spans="1:52">
      <c r="A148" s="17" t="s">
        <v>1204</v>
      </c>
      <c r="B148" s="242" t="s">
        <v>374</v>
      </c>
      <c r="C148" s="242" t="s">
        <v>1205</v>
      </c>
      <c r="D148" s="242" t="s">
        <v>1206</v>
      </c>
      <c r="E148" s="242"/>
      <c r="F148" s="242"/>
      <c r="G148" s="242"/>
      <c r="H148" s="242"/>
      <c r="I148" s="242"/>
      <c r="J148" s="242"/>
      <c r="K148" s="242"/>
      <c r="L148" s="242"/>
      <c r="M148" s="242"/>
      <c r="N148" s="242"/>
      <c r="O148" s="17" t="s">
        <v>1204</v>
      </c>
      <c r="P148" s="242">
        <v>500339</v>
      </c>
      <c r="Q148" s="242">
        <v>506146</v>
      </c>
      <c r="R148" s="242">
        <v>535205</v>
      </c>
      <c r="S148" s="242"/>
      <c r="T148" s="242"/>
      <c r="U148" s="242"/>
      <c r="V148" s="242"/>
      <c r="W148" s="242"/>
      <c r="AD148" s="17" t="s">
        <v>1204</v>
      </c>
      <c r="AE148" s="242">
        <v>500339</v>
      </c>
      <c r="AF148" s="242" t="s">
        <v>374</v>
      </c>
      <c r="AG148" s="242">
        <v>500339</v>
      </c>
      <c r="AJ148" s="17" t="s">
        <v>1204</v>
      </c>
      <c r="AK148" s="240" t="str">
        <f t="shared" si="60"/>
        <v>Rain Industries</v>
      </c>
      <c r="AL148" s="240" t="str">
        <f t="shared" si="61"/>
        <v>Visagar Polytex</v>
      </c>
      <c r="AM148" s="240" t="str">
        <f t="shared" si="62"/>
        <v>Pearl Electronic</v>
      </c>
      <c r="AN148" s="240" t="str">
        <f t="shared" si="63"/>
        <v/>
      </c>
      <c r="AO148" s="240" t="str">
        <f t="shared" si="64"/>
        <v/>
      </c>
      <c r="AP148" s="240" t="str">
        <f t="shared" si="65"/>
        <v/>
      </c>
      <c r="AQ148" s="240" t="str">
        <f t="shared" si="66"/>
        <v/>
      </c>
      <c r="AR148" s="240" t="str">
        <f t="shared" si="67"/>
        <v/>
      </c>
      <c r="AS148" s="240" t="str">
        <f t="shared" si="68"/>
        <v/>
      </c>
      <c r="AT148" s="240" t="str">
        <f t="shared" si="69"/>
        <v/>
      </c>
      <c r="AU148" s="240" t="str">
        <f t="shared" si="70"/>
        <v/>
      </c>
      <c r="AV148" s="240" t="str">
        <f t="shared" si="71"/>
        <v/>
      </c>
      <c r="AW148" s="240" t="str">
        <f t="shared" si="72"/>
        <v/>
      </c>
      <c r="AX148" s="240" t="str">
        <f t="shared" si="73"/>
        <v/>
      </c>
      <c r="AY148" s="240" t="str">
        <f t="shared" si="74"/>
        <v/>
      </c>
      <c r="AZ148" s="1"/>
    </row>
    <row r="149" spans="1:52">
      <c r="A149" s="17" t="s">
        <v>1207</v>
      </c>
      <c r="B149" s="242" t="s">
        <v>927</v>
      </c>
      <c r="C149" s="242"/>
      <c r="D149" s="242"/>
      <c r="E149" s="242"/>
      <c r="F149" s="242"/>
      <c r="G149" s="242"/>
      <c r="H149" s="242"/>
      <c r="I149" s="242"/>
      <c r="J149" s="242"/>
      <c r="K149" s="242"/>
      <c r="L149" s="242"/>
      <c r="M149" s="242"/>
      <c r="N149" s="242"/>
      <c r="O149" s="17" t="s">
        <v>1207</v>
      </c>
      <c r="P149" s="242">
        <v>535648</v>
      </c>
      <c r="Q149" s="242"/>
      <c r="R149" s="242"/>
      <c r="S149" s="242"/>
      <c r="T149" s="242"/>
      <c r="U149" s="242"/>
      <c r="V149" s="242"/>
      <c r="W149" s="242"/>
      <c r="AD149" s="17" t="s">
        <v>1207</v>
      </c>
      <c r="AE149" s="242">
        <v>535648</v>
      </c>
      <c r="AF149" s="242" t="s">
        <v>927</v>
      </c>
      <c r="AG149" s="242">
        <v>535648</v>
      </c>
      <c r="AJ149" s="17" t="s">
        <v>1207</v>
      </c>
      <c r="AK149" s="240" t="str">
        <f t="shared" si="60"/>
        <v>Just Dial</v>
      </c>
      <c r="AL149" s="240" t="str">
        <f t="shared" si="61"/>
        <v/>
      </c>
      <c r="AM149" s="240" t="str">
        <f t="shared" si="62"/>
        <v/>
      </c>
      <c r="AN149" s="240" t="str">
        <f t="shared" si="63"/>
        <v/>
      </c>
      <c r="AO149" s="240" t="str">
        <f t="shared" si="64"/>
        <v/>
      </c>
      <c r="AP149" s="240" t="str">
        <f t="shared" si="65"/>
        <v/>
      </c>
      <c r="AQ149" s="240" t="str">
        <f t="shared" si="66"/>
        <v/>
      </c>
      <c r="AR149" s="240" t="str">
        <f t="shared" si="67"/>
        <v/>
      </c>
      <c r="AS149" s="240" t="str">
        <f t="shared" si="68"/>
        <v/>
      </c>
      <c r="AT149" s="240" t="str">
        <f t="shared" si="69"/>
        <v/>
      </c>
      <c r="AU149" s="240" t="str">
        <f t="shared" si="70"/>
        <v/>
      </c>
      <c r="AV149" s="240" t="str">
        <f t="shared" si="71"/>
        <v/>
      </c>
      <c r="AW149" s="240" t="str">
        <f t="shared" si="72"/>
        <v/>
      </c>
      <c r="AX149" s="240" t="str">
        <f t="shared" si="73"/>
        <v/>
      </c>
      <c r="AY149" s="240" t="str">
        <f t="shared" si="74"/>
        <v/>
      </c>
      <c r="AZ149" s="1"/>
    </row>
    <row r="150" spans="1:52">
      <c r="A150" s="17" t="s">
        <v>1208</v>
      </c>
      <c r="B150" s="242" t="s">
        <v>1210</v>
      </c>
      <c r="C150" s="242"/>
      <c r="D150" s="242"/>
      <c r="E150" s="242"/>
      <c r="F150" s="242"/>
      <c r="G150" s="242"/>
      <c r="H150" s="242"/>
      <c r="I150" s="242"/>
      <c r="J150" s="242"/>
      <c r="K150" s="242"/>
      <c r="L150" s="242"/>
      <c r="M150" s="242"/>
      <c r="N150" s="242"/>
      <c r="O150" s="17" t="s">
        <v>1208</v>
      </c>
      <c r="P150" s="242">
        <v>532899</v>
      </c>
      <c r="Q150" s="242"/>
      <c r="R150" s="242"/>
      <c r="S150" s="242"/>
      <c r="T150" s="242"/>
      <c r="U150" s="242"/>
      <c r="V150" s="242"/>
      <c r="W150" s="242"/>
      <c r="AD150" s="17" t="s">
        <v>1208</v>
      </c>
      <c r="AE150" s="242">
        <v>532899</v>
      </c>
      <c r="AF150" s="242" t="s">
        <v>1210</v>
      </c>
      <c r="AG150" s="242">
        <v>532899</v>
      </c>
      <c r="AJ150" s="17" t="s">
        <v>1208</v>
      </c>
      <c r="AK150" s="240" t="str">
        <f t="shared" si="60"/>
        <v>Kaveri Seed Co.</v>
      </c>
      <c r="AL150" s="240" t="str">
        <f t="shared" si="61"/>
        <v/>
      </c>
      <c r="AM150" s="240" t="str">
        <f t="shared" si="62"/>
        <v/>
      </c>
      <c r="AN150" s="240" t="str">
        <f t="shared" si="63"/>
        <v/>
      </c>
      <c r="AO150" s="240" t="str">
        <f t="shared" si="64"/>
        <v/>
      </c>
      <c r="AP150" s="240" t="str">
        <f t="shared" si="65"/>
        <v/>
      </c>
      <c r="AQ150" s="240" t="str">
        <f t="shared" si="66"/>
        <v/>
      </c>
      <c r="AR150" s="240" t="str">
        <f t="shared" si="67"/>
        <v/>
      </c>
      <c r="AS150" s="240" t="str">
        <f t="shared" si="68"/>
        <v/>
      </c>
      <c r="AT150" s="240" t="str">
        <f t="shared" si="69"/>
        <v/>
      </c>
      <c r="AU150" s="240" t="str">
        <f t="shared" si="70"/>
        <v/>
      </c>
      <c r="AV150" s="240" t="str">
        <f t="shared" si="71"/>
        <v/>
      </c>
      <c r="AW150" s="240" t="str">
        <f t="shared" si="72"/>
        <v/>
      </c>
      <c r="AX150" s="240" t="str">
        <f t="shared" si="73"/>
        <v/>
      </c>
      <c r="AY150" s="240" t="str">
        <f t="shared" si="74"/>
        <v/>
      </c>
      <c r="AZ150" s="1"/>
    </row>
    <row r="151" spans="1:52">
      <c r="A151" s="17" t="s">
        <v>1211</v>
      </c>
      <c r="B151" s="242" t="s">
        <v>921</v>
      </c>
      <c r="C151" s="242"/>
      <c r="D151" s="242"/>
      <c r="E151" s="242"/>
      <c r="F151" s="242"/>
      <c r="G151" s="242"/>
      <c r="H151" s="242"/>
      <c r="I151" s="242"/>
      <c r="J151" s="242"/>
      <c r="K151" s="242"/>
      <c r="L151" s="242"/>
      <c r="M151" s="242"/>
      <c r="N151" s="242"/>
      <c r="O151" s="17" t="s">
        <v>1211</v>
      </c>
      <c r="P151" s="242">
        <v>532777</v>
      </c>
      <c r="Q151" s="242"/>
      <c r="R151" s="242"/>
      <c r="S151" s="242"/>
      <c r="T151" s="242"/>
      <c r="U151" s="242"/>
      <c r="AD151" s="17" t="s">
        <v>1211</v>
      </c>
      <c r="AE151" s="242">
        <v>532777</v>
      </c>
      <c r="AF151" s="242" t="s">
        <v>921</v>
      </c>
      <c r="AG151" s="242">
        <v>532777</v>
      </c>
      <c r="AJ151" s="17" t="s">
        <v>1211</v>
      </c>
      <c r="AK151" s="240" t="str">
        <f t="shared" si="60"/>
        <v>Info Edg.(India)</v>
      </c>
      <c r="AL151" s="240" t="str">
        <f t="shared" si="61"/>
        <v/>
      </c>
      <c r="AM151" s="240" t="str">
        <f t="shared" si="62"/>
        <v/>
      </c>
      <c r="AN151" s="240" t="str">
        <f t="shared" si="63"/>
        <v/>
      </c>
      <c r="AO151" s="240" t="str">
        <f t="shared" si="64"/>
        <v/>
      </c>
      <c r="AP151" s="240" t="str">
        <f t="shared" si="65"/>
        <v/>
      </c>
      <c r="AQ151" s="240" t="str">
        <f t="shared" si="66"/>
        <v/>
      </c>
      <c r="AR151" s="240" t="str">
        <f t="shared" si="67"/>
        <v/>
      </c>
      <c r="AS151" s="240" t="str">
        <f t="shared" si="68"/>
        <v/>
      </c>
      <c r="AT151" s="240" t="str">
        <f t="shared" si="69"/>
        <v/>
      </c>
      <c r="AU151" s="240" t="str">
        <f t="shared" si="70"/>
        <v/>
      </c>
      <c r="AV151" s="240" t="str">
        <f t="shared" si="71"/>
        <v/>
      </c>
      <c r="AW151" s="240" t="str">
        <f t="shared" si="72"/>
        <v/>
      </c>
      <c r="AX151" s="240" t="str">
        <f t="shared" si="73"/>
        <v/>
      </c>
      <c r="AY151" s="240" t="str">
        <f t="shared" si="74"/>
        <v/>
      </c>
      <c r="AZ151" s="1"/>
    </row>
    <row r="152" spans="1:52">
      <c r="A152" s="17" t="s">
        <v>1212</v>
      </c>
      <c r="B152" s="242" t="s">
        <v>348</v>
      </c>
      <c r="C152" s="242"/>
      <c r="D152" s="242"/>
      <c r="E152" s="242"/>
      <c r="F152" s="242"/>
      <c r="G152" s="242"/>
      <c r="H152" s="242"/>
      <c r="I152" s="242"/>
      <c r="J152" s="242"/>
      <c r="K152" s="242"/>
      <c r="L152" s="242"/>
      <c r="M152" s="242"/>
      <c r="N152" s="242"/>
      <c r="O152" s="17" t="s">
        <v>1212</v>
      </c>
      <c r="P152" s="242">
        <v>500875</v>
      </c>
      <c r="Q152" s="242"/>
      <c r="R152" s="242"/>
      <c r="S152" s="242"/>
      <c r="T152" s="242"/>
      <c r="U152" s="242"/>
      <c r="AD152" s="17" t="s">
        <v>1212</v>
      </c>
      <c r="AE152" s="242">
        <v>500875</v>
      </c>
      <c r="AF152" s="242" t="s">
        <v>348</v>
      </c>
      <c r="AG152" s="242">
        <v>500875</v>
      </c>
      <c r="AJ152" s="17" t="s">
        <v>1212</v>
      </c>
      <c r="AK152" s="240" t="str">
        <f t="shared" si="60"/>
        <v>ITC</v>
      </c>
      <c r="AL152" s="240" t="str">
        <f t="shared" si="61"/>
        <v/>
      </c>
      <c r="AM152" s="240" t="str">
        <f t="shared" si="62"/>
        <v/>
      </c>
      <c r="AN152" s="240" t="str">
        <f t="shared" si="63"/>
        <v/>
      </c>
      <c r="AO152" s="240" t="str">
        <f t="shared" si="64"/>
        <v/>
      </c>
      <c r="AP152" s="240" t="str">
        <f t="shared" si="65"/>
        <v/>
      </c>
      <c r="AQ152" s="240" t="str">
        <f t="shared" si="66"/>
        <v/>
      </c>
      <c r="AR152" s="240" t="str">
        <f t="shared" si="67"/>
        <v/>
      </c>
      <c r="AS152" s="240" t="str">
        <f t="shared" si="68"/>
        <v/>
      </c>
      <c r="AT152" s="240" t="str">
        <f t="shared" si="69"/>
        <v/>
      </c>
      <c r="AU152" s="240" t="str">
        <f t="shared" si="70"/>
        <v/>
      </c>
      <c r="AV152" s="240" t="str">
        <f t="shared" si="71"/>
        <v/>
      </c>
      <c r="AW152" s="240" t="str">
        <f t="shared" si="72"/>
        <v/>
      </c>
      <c r="AX152" s="240" t="str">
        <f t="shared" si="73"/>
        <v/>
      </c>
      <c r="AY152" s="240" t="str">
        <f t="shared" si="74"/>
        <v/>
      </c>
      <c r="AZ152" s="1"/>
    </row>
    <row r="153" spans="1:52">
      <c r="A153" s="17" t="s">
        <v>1213</v>
      </c>
      <c r="B153" s="242" t="s">
        <v>1214</v>
      </c>
      <c r="C153" s="242" t="s">
        <v>975</v>
      </c>
      <c r="D153" s="242"/>
      <c r="E153" s="242"/>
      <c r="F153" s="242"/>
      <c r="G153" s="242"/>
      <c r="H153" s="242"/>
      <c r="I153" s="242"/>
      <c r="J153" s="242"/>
      <c r="K153" s="242"/>
      <c r="L153" s="242"/>
      <c r="M153" s="242"/>
      <c r="N153" s="242"/>
      <c r="O153" s="17" t="s">
        <v>1213</v>
      </c>
      <c r="P153" s="242">
        <v>500043</v>
      </c>
      <c r="Q153" s="242">
        <v>530517</v>
      </c>
      <c r="R153" s="242"/>
      <c r="S153" s="242"/>
      <c r="T153" s="242"/>
      <c r="U153" s="242"/>
      <c r="AD153" s="17" t="s">
        <v>1213</v>
      </c>
      <c r="AE153" s="242">
        <v>500043</v>
      </c>
      <c r="AF153" s="242" t="s">
        <v>1214</v>
      </c>
      <c r="AG153" s="242">
        <v>500043</v>
      </c>
      <c r="AJ153" s="17" t="s">
        <v>1213</v>
      </c>
      <c r="AK153" s="240" t="str">
        <f t="shared" si="60"/>
        <v>Bata India</v>
      </c>
      <c r="AL153" s="240" t="str">
        <f t="shared" si="61"/>
        <v>Relaxo Footwear</v>
      </c>
      <c r="AM153" s="240" t="str">
        <f t="shared" si="62"/>
        <v/>
      </c>
      <c r="AN153" s="240" t="str">
        <f t="shared" si="63"/>
        <v/>
      </c>
      <c r="AO153" s="240" t="str">
        <f t="shared" si="64"/>
        <v/>
      </c>
      <c r="AP153" s="240" t="str">
        <f t="shared" si="65"/>
        <v/>
      </c>
      <c r="AQ153" s="240" t="str">
        <f t="shared" si="66"/>
        <v/>
      </c>
      <c r="AR153" s="240" t="str">
        <f t="shared" si="67"/>
        <v/>
      </c>
      <c r="AS153" s="240" t="str">
        <f t="shared" si="68"/>
        <v/>
      </c>
      <c r="AT153" s="240" t="str">
        <f t="shared" si="69"/>
        <v/>
      </c>
      <c r="AU153" s="240" t="str">
        <f t="shared" si="70"/>
        <v/>
      </c>
      <c r="AV153" s="240" t="str">
        <f t="shared" si="71"/>
        <v/>
      </c>
      <c r="AW153" s="240" t="str">
        <f t="shared" si="72"/>
        <v/>
      </c>
      <c r="AX153" s="240" t="str">
        <f t="shared" si="73"/>
        <v/>
      </c>
      <c r="AY153" s="240" t="str">
        <f t="shared" si="74"/>
        <v/>
      </c>
      <c r="AZ153" s="1"/>
    </row>
    <row r="154" spans="1:52">
      <c r="A154" s="17" t="s">
        <v>1215</v>
      </c>
      <c r="B154" s="242" t="s">
        <v>350</v>
      </c>
      <c r="C154" s="242" t="s">
        <v>351</v>
      </c>
      <c r="D154" s="242" t="s">
        <v>352</v>
      </c>
      <c r="E154" s="242" t="s">
        <v>963</v>
      </c>
      <c r="F154" s="242" t="s">
        <v>1216</v>
      </c>
      <c r="G154" s="242"/>
      <c r="H154" s="242"/>
      <c r="I154" s="242"/>
      <c r="J154" s="242"/>
      <c r="K154" s="242"/>
      <c r="L154" s="242"/>
      <c r="M154" s="242"/>
      <c r="O154" s="17" t="s">
        <v>1215</v>
      </c>
      <c r="P154" s="242">
        <v>500290</v>
      </c>
      <c r="Q154" s="242">
        <v>500877</v>
      </c>
      <c r="R154" s="242">
        <v>502355</v>
      </c>
      <c r="S154" s="242">
        <v>500878</v>
      </c>
      <c r="T154" s="242">
        <v>530007</v>
      </c>
      <c r="U154" s="242"/>
      <c r="AD154" s="17" t="s">
        <v>1215</v>
      </c>
      <c r="AE154" s="242">
        <v>500290</v>
      </c>
      <c r="AF154" s="242" t="s">
        <v>350</v>
      </c>
      <c r="AG154" s="242">
        <v>500290</v>
      </c>
      <c r="AJ154" s="17" t="s">
        <v>1215</v>
      </c>
      <c r="AK154" s="240" t="str">
        <f t="shared" si="60"/>
        <v>MRF</v>
      </c>
      <c r="AL154" s="240" t="str">
        <f t="shared" si="61"/>
        <v>Apollo Tyres</v>
      </c>
      <c r="AM154" s="240" t="str">
        <f t="shared" si="62"/>
        <v>Balkrishna Inds</v>
      </c>
      <c r="AN154" s="240" t="str">
        <f t="shared" si="63"/>
        <v>CEAT</v>
      </c>
      <c r="AO154" s="240" t="str">
        <f t="shared" si="64"/>
        <v>JK Tyre &amp; Indus</v>
      </c>
      <c r="AP154" s="240" t="str">
        <f t="shared" si="65"/>
        <v/>
      </c>
      <c r="AQ154" s="240" t="str">
        <f t="shared" si="66"/>
        <v/>
      </c>
      <c r="AR154" s="240" t="str">
        <f t="shared" si="67"/>
        <v/>
      </c>
      <c r="AS154" s="240" t="str">
        <f t="shared" si="68"/>
        <v/>
      </c>
      <c r="AT154" s="240" t="str">
        <f t="shared" si="69"/>
        <v/>
      </c>
      <c r="AU154" s="240" t="str">
        <f t="shared" si="70"/>
        <v/>
      </c>
      <c r="AV154" s="240" t="str">
        <f t="shared" si="71"/>
        <v/>
      </c>
      <c r="AW154" s="240" t="str">
        <f t="shared" si="72"/>
        <v/>
      </c>
      <c r="AX154" s="240" t="str">
        <f t="shared" si="73"/>
        <v/>
      </c>
      <c r="AY154" s="240" t="str">
        <f t="shared" si="74"/>
        <v/>
      </c>
      <c r="AZ154" s="1"/>
    </row>
    <row r="155" spans="1:52">
      <c r="A155" s="17" t="s">
        <v>1218</v>
      </c>
      <c r="B155" s="242" t="s">
        <v>936</v>
      </c>
      <c r="C155" s="242" t="s">
        <v>1209</v>
      </c>
      <c r="D155" s="242"/>
      <c r="E155" s="242"/>
      <c r="F155" s="242"/>
      <c r="G155" s="242"/>
      <c r="H155" s="242"/>
      <c r="I155" s="242"/>
      <c r="J155" s="242"/>
      <c r="K155" s="242"/>
      <c r="L155" s="242"/>
      <c r="M155" s="242"/>
      <c r="O155" s="17" t="s">
        <v>1218</v>
      </c>
      <c r="P155" s="242">
        <v>526612</v>
      </c>
      <c r="Q155" s="242">
        <v>532345</v>
      </c>
      <c r="R155" s="242"/>
      <c r="S155" s="242"/>
      <c r="T155" s="242"/>
      <c r="U155" s="242"/>
      <c r="AD155" s="17" t="s">
        <v>1218</v>
      </c>
      <c r="AE155" s="242">
        <v>526612</v>
      </c>
      <c r="AF155" s="242" t="s">
        <v>936</v>
      </c>
      <c r="AG155" s="242">
        <v>526612</v>
      </c>
      <c r="AJ155" s="17" t="s">
        <v>1218</v>
      </c>
      <c r="AK155" s="240" t="str">
        <f t="shared" si="60"/>
        <v>Blue Dart Exp.</v>
      </c>
      <c r="AL155" s="240" t="str">
        <f t="shared" si="61"/>
        <v>Gati</v>
      </c>
      <c r="AM155" s="240" t="str">
        <f t="shared" si="62"/>
        <v/>
      </c>
      <c r="AN155" s="240" t="str">
        <f t="shared" si="63"/>
        <v/>
      </c>
      <c r="AO155" s="240" t="str">
        <f t="shared" si="64"/>
        <v/>
      </c>
      <c r="AP155" s="240" t="str">
        <f t="shared" si="65"/>
        <v/>
      </c>
      <c r="AQ155" s="240" t="str">
        <f t="shared" si="66"/>
        <v/>
      </c>
      <c r="AR155" s="240" t="str">
        <f t="shared" si="67"/>
        <v/>
      </c>
      <c r="AS155" s="240" t="str">
        <f t="shared" si="68"/>
        <v/>
      </c>
      <c r="AT155" s="240" t="str">
        <f t="shared" si="69"/>
        <v/>
      </c>
      <c r="AU155" s="240" t="str">
        <f t="shared" si="70"/>
        <v/>
      </c>
      <c r="AV155" s="240" t="str">
        <f t="shared" si="71"/>
        <v/>
      </c>
      <c r="AW155" s="240" t="str">
        <f t="shared" si="72"/>
        <v/>
      </c>
      <c r="AX155" s="240" t="str">
        <f t="shared" si="73"/>
        <v/>
      </c>
      <c r="AY155" s="240" t="str">
        <f t="shared" si="74"/>
        <v/>
      </c>
      <c r="AZ155" s="1"/>
    </row>
    <row r="156" spans="1:52">
      <c r="A156" s="17" t="s">
        <v>1219</v>
      </c>
      <c r="B156" s="242" t="s">
        <v>355</v>
      </c>
      <c r="C156" s="242"/>
      <c r="D156" s="242"/>
      <c r="E156" s="242"/>
      <c r="F156" s="242"/>
      <c r="G156" s="242"/>
      <c r="H156" s="242"/>
      <c r="I156" s="242"/>
      <c r="J156" s="242"/>
      <c r="K156" s="242"/>
      <c r="L156" s="242"/>
      <c r="M156" s="242"/>
      <c r="O156" s="17" t="s">
        <v>1219</v>
      </c>
      <c r="P156" s="242">
        <v>500300</v>
      </c>
      <c r="Q156" s="242"/>
      <c r="R156" s="242"/>
      <c r="S156" s="242"/>
      <c r="T156" s="242"/>
      <c r="U156" s="242"/>
      <c r="AD156" s="17" t="s">
        <v>1219</v>
      </c>
      <c r="AE156" s="242">
        <v>500300</v>
      </c>
      <c r="AF156" s="242" t="s">
        <v>355</v>
      </c>
      <c r="AG156" s="242">
        <v>500300</v>
      </c>
      <c r="AJ156" s="17" t="s">
        <v>1219</v>
      </c>
      <c r="AK156" s="240" t="str">
        <f t="shared" si="60"/>
        <v>Grasim Inds</v>
      </c>
      <c r="AL156" s="240" t="str">
        <f t="shared" si="61"/>
        <v/>
      </c>
      <c r="AM156" s="240" t="str">
        <f t="shared" si="62"/>
        <v/>
      </c>
      <c r="AN156" s="240" t="str">
        <f t="shared" si="63"/>
        <v/>
      </c>
      <c r="AO156" s="240" t="str">
        <f t="shared" si="64"/>
        <v/>
      </c>
      <c r="AP156" s="240" t="str">
        <f t="shared" si="65"/>
        <v/>
      </c>
      <c r="AQ156" s="240" t="str">
        <f t="shared" si="66"/>
        <v/>
      </c>
      <c r="AR156" s="240" t="str">
        <f t="shared" si="67"/>
        <v/>
      </c>
      <c r="AS156" s="240" t="str">
        <f t="shared" si="68"/>
        <v/>
      </c>
      <c r="AT156" s="240" t="str">
        <f t="shared" si="69"/>
        <v/>
      </c>
      <c r="AU156" s="240" t="str">
        <f t="shared" si="70"/>
        <v/>
      </c>
      <c r="AV156" s="240" t="str">
        <f t="shared" si="71"/>
        <v/>
      </c>
      <c r="AW156" s="240" t="str">
        <f t="shared" si="72"/>
        <v/>
      </c>
      <c r="AX156" s="240" t="str">
        <f t="shared" si="73"/>
        <v/>
      </c>
      <c r="AY156" s="240" t="str">
        <f t="shared" si="74"/>
        <v/>
      </c>
      <c r="AZ156" s="1"/>
    </row>
    <row r="157" spans="1:52">
      <c r="A157" s="17" t="s">
        <v>1220</v>
      </c>
      <c r="B157" s="242" t="s">
        <v>356</v>
      </c>
      <c r="C157" s="242"/>
      <c r="D157" s="242"/>
      <c r="E157" s="242"/>
      <c r="F157" s="242"/>
      <c r="G157" s="242"/>
      <c r="H157" s="242"/>
      <c r="I157" s="242"/>
      <c r="J157" s="242"/>
      <c r="K157" s="242"/>
      <c r="L157" s="242"/>
      <c r="M157" s="242"/>
      <c r="O157" s="17" t="s">
        <v>1220</v>
      </c>
      <c r="P157" s="242">
        <v>500303</v>
      </c>
      <c r="Q157" s="242"/>
      <c r="R157" s="242"/>
      <c r="S157" s="242"/>
      <c r="T157" s="242"/>
      <c r="U157" s="242"/>
      <c r="V157" s="242"/>
      <c r="AD157" s="17" t="s">
        <v>1220</v>
      </c>
      <c r="AE157" s="242">
        <v>500303</v>
      </c>
      <c r="AF157" s="242" t="s">
        <v>356</v>
      </c>
      <c r="AG157" s="242">
        <v>500303</v>
      </c>
      <c r="AJ157" s="17" t="s">
        <v>1220</v>
      </c>
      <c r="AK157" s="240" t="str">
        <f t="shared" si="60"/>
        <v>Aditya Bir. Nuv.</v>
      </c>
      <c r="AL157" s="240" t="str">
        <f t="shared" si="61"/>
        <v/>
      </c>
      <c r="AM157" s="240" t="str">
        <f t="shared" si="62"/>
        <v/>
      </c>
      <c r="AN157" s="240" t="str">
        <f t="shared" si="63"/>
        <v/>
      </c>
      <c r="AO157" s="240" t="str">
        <f t="shared" si="64"/>
        <v/>
      </c>
      <c r="AP157" s="240" t="str">
        <f t="shared" si="65"/>
        <v/>
      </c>
      <c r="AQ157" s="240" t="str">
        <f t="shared" si="66"/>
        <v/>
      </c>
      <c r="AR157" s="240" t="str">
        <f t="shared" si="67"/>
        <v/>
      </c>
      <c r="AS157" s="240" t="str">
        <f t="shared" si="68"/>
        <v/>
      </c>
      <c r="AT157" s="240" t="str">
        <f t="shared" si="69"/>
        <v/>
      </c>
      <c r="AU157" s="240" t="str">
        <f t="shared" si="70"/>
        <v/>
      </c>
      <c r="AV157" s="240" t="str">
        <f t="shared" si="71"/>
        <v/>
      </c>
      <c r="AW157" s="240" t="str">
        <f t="shared" si="72"/>
        <v/>
      </c>
      <c r="AX157" s="240" t="str">
        <f t="shared" si="73"/>
        <v/>
      </c>
      <c r="AY157" s="240" t="str">
        <f t="shared" si="74"/>
        <v/>
      </c>
      <c r="AZ157" s="1"/>
    </row>
    <row r="158" spans="1:52">
      <c r="A158" s="17" t="s">
        <v>1221</v>
      </c>
      <c r="B158" s="242" t="s">
        <v>363</v>
      </c>
      <c r="C158" s="242" t="s">
        <v>357</v>
      </c>
      <c r="D158" s="242" t="s">
        <v>360</v>
      </c>
      <c r="E158" s="242" t="s">
        <v>946</v>
      </c>
      <c r="F158" s="242"/>
      <c r="G158" s="242"/>
      <c r="H158" s="242"/>
      <c r="I158" s="242"/>
      <c r="J158" s="242"/>
      <c r="K158" s="242"/>
      <c r="L158" s="242"/>
      <c r="M158" s="242"/>
      <c r="O158" s="17" t="s">
        <v>1221</v>
      </c>
      <c r="P158" s="242">
        <v>532827</v>
      </c>
      <c r="Q158" s="242">
        <v>500101</v>
      </c>
      <c r="R158" s="242">
        <v>503806</v>
      </c>
      <c r="S158" s="242">
        <v>514162</v>
      </c>
      <c r="T158" s="242"/>
      <c r="U158" s="242"/>
      <c r="V158" s="242"/>
      <c r="AD158" s="17" t="s">
        <v>1221</v>
      </c>
      <c r="AE158" s="242">
        <v>532827</v>
      </c>
      <c r="AF158" s="242" t="s">
        <v>363</v>
      </c>
      <c r="AG158" s="242">
        <v>532827</v>
      </c>
      <c r="AJ158" s="17" t="s">
        <v>1221</v>
      </c>
      <c r="AK158" s="240" t="str">
        <f t="shared" si="60"/>
        <v>Page Industries</v>
      </c>
      <c r="AL158" s="240" t="str">
        <f t="shared" si="61"/>
        <v>Arvind Ltd</v>
      </c>
      <c r="AM158" s="240" t="str">
        <f t="shared" si="62"/>
        <v>SRF</v>
      </c>
      <c r="AN158" s="240" t="str">
        <f t="shared" si="63"/>
        <v>Welspun India</v>
      </c>
      <c r="AO158" s="240" t="str">
        <f t="shared" si="64"/>
        <v/>
      </c>
      <c r="AP158" s="240" t="str">
        <f t="shared" si="65"/>
        <v/>
      </c>
      <c r="AQ158" s="240" t="str">
        <f t="shared" si="66"/>
        <v/>
      </c>
      <c r="AR158" s="240" t="str">
        <f t="shared" si="67"/>
        <v/>
      </c>
      <c r="AS158" s="240" t="str">
        <f t="shared" si="68"/>
        <v/>
      </c>
      <c r="AT158" s="240" t="str">
        <f t="shared" si="69"/>
        <v/>
      </c>
      <c r="AU158" s="240" t="str">
        <f t="shared" si="70"/>
        <v/>
      </c>
      <c r="AV158" s="240" t="str">
        <f t="shared" si="71"/>
        <v/>
      </c>
      <c r="AW158" s="240" t="str">
        <f t="shared" si="72"/>
        <v/>
      </c>
      <c r="AX158" s="240" t="str">
        <f t="shared" si="73"/>
        <v/>
      </c>
      <c r="AY158" s="240" t="str">
        <f t="shared" si="74"/>
        <v/>
      </c>
      <c r="AZ158" s="1"/>
    </row>
    <row r="159" spans="1:52">
      <c r="A159" s="17" t="s">
        <v>1222</v>
      </c>
      <c r="B159" s="242" t="s">
        <v>358</v>
      </c>
      <c r="C159" s="242" t="s">
        <v>353</v>
      </c>
      <c r="D159" s="242" t="s">
        <v>940</v>
      </c>
      <c r="E159" s="242" t="s">
        <v>354</v>
      </c>
      <c r="F159" s="242" t="s">
        <v>359</v>
      </c>
      <c r="G159" s="242" t="s">
        <v>1223</v>
      </c>
      <c r="H159" s="242"/>
      <c r="I159" s="242"/>
      <c r="J159" s="242"/>
      <c r="O159" s="17" t="s">
        <v>1222</v>
      </c>
      <c r="P159" s="242">
        <v>500330</v>
      </c>
      <c r="Q159" s="242">
        <v>502986</v>
      </c>
      <c r="R159" s="242">
        <v>532732</v>
      </c>
      <c r="S159" s="242">
        <v>521070</v>
      </c>
      <c r="T159" s="242">
        <v>500020</v>
      </c>
      <c r="U159" s="242">
        <v>521064</v>
      </c>
      <c r="V159" s="242"/>
      <c r="AD159" s="17" t="s">
        <v>1222</v>
      </c>
      <c r="AE159" s="242">
        <v>500330</v>
      </c>
      <c r="AF159" s="242" t="s">
        <v>358</v>
      </c>
      <c r="AG159" s="242">
        <v>500330</v>
      </c>
      <c r="AJ159" s="17" t="s">
        <v>1222</v>
      </c>
      <c r="AK159" s="240" t="str">
        <f t="shared" si="60"/>
        <v>Raymond</v>
      </c>
      <c r="AL159" s="240" t="str">
        <f t="shared" si="61"/>
        <v>Vardhman Textile</v>
      </c>
      <c r="AM159" s="240" t="str">
        <f t="shared" si="62"/>
        <v>Kewal Kir.Cloth.</v>
      </c>
      <c r="AN159" s="240" t="str">
        <f t="shared" si="63"/>
        <v>Alok Inds.</v>
      </c>
      <c r="AO159" s="240" t="str">
        <f t="shared" si="64"/>
        <v>Bombay Dyeing</v>
      </c>
      <c r="AP159" s="240" t="str">
        <f t="shared" si="65"/>
        <v>Trident</v>
      </c>
      <c r="AQ159" s="240" t="str">
        <f t="shared" si="66"/>
        <v/>
      </c>
      <c r="AR159" s="240" t="str">
        <f t="shared" si="67"/>
        <v/>
      </c>
      <c r="AS159" s="240" t="str">
        <f t="shared" si="68"/>
        <v/>
      </c>
      <c r="AT159" s="240" t="str">
        <f t="shared" si="69"/>
        <v/>
      </c>
      <c r="AU159" s="240" t="str">
        <f t="shared" si="70"/>
        <v/>
      </c>
      <c r="AV159" s="240" t="str">
        <f t="shared" si="71"/>
        <v/>
      </c>
      <c r="AW159" s="240" t="str">
        <f t="shared" si="72"/>
        <v/>
      </c>
      <c r="AX159" s="240" t="str">
        <f t="shared" si="73"/>
        <v/>
      </c>
      <c r="AY159" s="240" t="str">
        <f t="shared" si="74"/>
        <v/>
      </c>
      <c r="AZ159" s="1"/>
    </row>
    <row r="160" spans="1:52">
      <c r="A160" s="17" t="s">
        <v>1224</v>
      </c>
      <c r="B160" s="242" t="s">
        <v>362</v>
      </c>
      <c r="C160" s="242" t="s">
        <v>361</v>
      </c>
      <c r="D160" s="242" t="s">
        <v>1225</v>
      </c>
      <c r="E160" s="242" t="s">
        <v>364</v>
      </c>
      <c r="F160" s="242" t="s">
        <v>937</v>
      </c>
      <c r="G160" s="242" t="s">
        <v>1226</v>
      </c>
      <c r="H160" s="242"/>
      <c r="I160" s="242"/>
      <c r="J160" s="242"/>
      <c r="O160" s="17" t="s">
        <v>1224</v>
      </c>
      <c r="P160" s="242">
        <v>514034</v>
      </c>
      <c r="Q160" s="242">
        <v>533204</v>
      </c>
      <c r="R160" s="242">
        <v>514043</v>
      </c>
      <c r="S160" s="242">
        <v>533343</v>
      </c>
      <c r="T160" s="242">
        <v>500280</v>
      </c>
      <c r="U160" s="242">
        <v>514304</v>
      </c>
      <c r="V160" s="242"/>
      <c r="AD160" s="17" t="s">
        <v>1224</v>
      </c>
      <c r="AE160" s="242">
        <v>514034</v>
      </c>
      <c r="AF160" s="242" t="s">
        <v>362</v>
      </c>
      <c r="AG160" s="242">
        <v>514034</v>
      </c>
      <c r="AJ160" s="17" t="s">
        <v>1224</v>
      </c>
      <c r="AK160" s="240" t="str">
        <f t="shared" si="60"/>
        <v>JBF Inds.</v>
      </c>
      <c r="AL160" s="240" t="str">
        <f t="shared" si="61"/>
        <v>Mandhana Indus</v>
      </c>
      <c r="AM160" s="240" t="str">
        <f t="shared" si="62"/>
        <v>Himatsing. Seide</v>
      </c>
      <c r="AN160" s="240" t="str">
        <f t="shared" si="63"/>
        <v>Lovable Lingerie</v>
      </c>
      <c r="AO160" s="240" t="str">
        <f t="shared" si="64"/>
        <v>Century Enka</v>
      </c>
      <c r="AP160" s="240" t="str">
        <f t="shared" si="65"/>
        <v>S Kumars Nation</v>
      </c>
      <c r="AQ160" s="240" t="str">
        <f t="shared" si="66"/>
        <v/>
      </c>
      <c r="AR160" s="240" t="str">
        <f t="shared" si="67"/>
        <v/>
      </c>
      <c r="AS160" s="240" t="str">
        <f t="shared" si="68"/>
        <v/>
      </c>
      <c r="AT160" s="240" t="str">
        <f t="shared" si="69"/>
        <v/>
      </c>
      <c r="AU160" s="240" t="str">
        <f t="shared" si="70"/>
        <v/>
      </c>
      <c r="AV160" s="240" t="str">
        <f t="shared" si="71"/>
        <v/>
      </c>
      <c r="AW160" s="240" t="str">
        <f t="shared" si="72"/>
        <v/>
      </c>
      <c r="AX160" s="240" t="str">
        <f t="shared" si="73"/>
        <v/>
      </c>
      <c r="AY160" s="240" t="str">
        <f t="shared" si="74"/>
        <v/>
      </c>
      <c r="AZ160" s="1"/>
    </row>
    <row r="161" spans="1:52">
      <c r="A161" s="17" t="s">
        <v>1227</v>
      </c>
      <c r="B161" s="242" t="s">
        <v>366</v>
      </c>
      <c r="C161" s="242"/>
      <c r="D161" s="242"/>
      <c r="E161" s="242"/>
      <c r="F161" s="242"/>
      <c r="G161" s="242"/>
      <c r="H161" s="242"/>
      <c r="I161" s="242"/>
      <c r="J161" s="242"/>
      <c r="O161" s="17" t="s">
        <v>1227</v>
      </c>
      <c r="P161" s="242">
        <v>500252</v>
      </c>
      <c r="Q161" s="242"/>
      <c r="R161" s="242"/>
      <c r="S161" s="242"/>
      <c r="T161" s="242"/>
      <c r="U161" s="242"/>
      <c r="V161" s="242"/>
      <c r="AD161" s="17" t="s">
        <v>1227</v>
      </c>
      <c r="AE161" s="242">
        <v>500252</v>
      </c>
      <c r="AF161" s="242" t="s">
        <v>366</v>
      </c>
      <c r="AG161" s="242">
        <v>500252</v>
      </c>
      <c r="AJ161" s="17" t="s">
        <v>1227</v>
      </c>
      <c r="AK161" s="240" t="str">
        <f t="shared" si="60"/>
        <v>Lak. Mach. Works</v>
      </c>
      <c r="AL161" s="240" t="str">
        <f t="shared" si="61"/>
        <v/>
      </c>
      <c r="AM161" s="240" t="str">
        <f t="shared" si="62"/>
        <v/>
      </c>
      <c r="AN161" s="240" t="str">
        <f t="shared" si="63"/>
        <v/>
      </c>
      <c r="AO161" s="240" t="str">
        <f t="shared" si="64"/>
        <v/>
      </c>
      <c r="AP161" s="240" t="str">
        <f t="shared" si="65"/>
        <v/>
      </c>
      <c r="AQ161" s="240" t="str">
        <f t="shared" si="66"/>
        <v/>
      </c>
      <c r="AR161" s="240" t="str">
        <f t="shared" si="67"/>
        <v/>
      </c>
      <c r="AS161" s="240" t="str">
        <f t="shared" si="68"/>
        <v/>
      </c>
      <c r="AT161" s="240" t="str">
        <f t="shared" si="69"/>
        <v/>
      </c>
      <c r="AU161" s="240" t="str">
        <f t="shared" si="70"/>
        <v/>
      </c>
      <c r="AV161" s="240" t="str">
        <f t="shared" si="71"/>
        <v/>
      </c>
      <c r="AW161" s="240" t="str">
        <f t="shared" si="72"/>
        <v/>
      </c>
      <c r="AX161" s="240" t="str">
        <f t="shared" si="73"/>
        <v/>
      </c>
      <c r="AY161" s="240" t="str">
        <f t="shared" si="74"/>
        <v/>
      </c>
      <c r="AZ161" s="1"/>
    </row>
    <row r="162" spans="1:52">
      <c r="A162" s="17" t="s">
        <v>1230</v>
      </c>
      <c r="B162" s="242" t="s">
        <v>1231</v>
      </c>
      <c r="C162" s="242"/>
      <c r="D162" s="242"/>
      <c r="E162" s="242"/>
      <c r="F162" s="242"/>
      <c r="G162" s="242"/>
      <c r="H162" s="242"/>
      <c r="I162" s="242"/>
      <c r="O162" s="17" t="s">
        <v>1230</v>
      </c>
      <c r="P162" s="242">
        <v>511389</v>
      </c>
      <c r="Q162" s="242"/>
      <c r="R162" s="242"/>
      <c r="S162" s="242"/>
      <c r="T162" s="242"/>
      <c r="U162" s="242"/>
      <c r="V162" s="242"/>
      <c r="AD162" s="17" t="s">
        <v>1230</v>
      </c>
      <c r="AE162" s="242">
        <v>511389</v>
      </c>
      <c r="AF162" s="242" t="s">
        <v>1231</v>
      </c>
      <c r="AG162" s="242">
        <v>511389</v>
      </c>
      <c r="AJ162" s="17" t="s">
        <v>1230</v>
      </c>
      <c r="AK162" s="240" t="str">
        <f t="shared" si="60"/>
        <v>Videocon Inds.</v>
      </c>
      <c r="AL162" s="240" t="str">
        <f t="shared" si="61"/>
        <v/>
      </c>
      <c r="AM162" s="240" t="str">
        <f t="shared" si="62"/>
        <v/>
      </c>
      <c r="AN162" s="240" t="str">
        <f t="shared" si="63"/>
        <v/>
      </c>
      <c r="AO162" s="240" t="str">
        <f t="shared" si="64"/>
        <v/>
      </c>
      <c r="AP162" s="240" t="str">
        <f t="shared" si="65"/>
        <v/>
      </c>
      <c r="AQ162" s="240" t="str">
        <f t="shared" si="66"/>
        <v/>
      </c>
      <c r="AR162" s="240" t="str">
        <f t="shared" si="67"/>
        <v/>
      </c>
      <c r="AS162" s="240" t="str">
        <f t="shared" si="68"/>
        <v/>
      </c>
      <c r="AT162" s="240" t="str">
        <f t="shared" si="69"/>
        <v/>
      </c>
      <c r="AU162" s="240" t="str">
        <f t="shared" si="70"/>
        <v/>
      </c>
      <c r="AV162" s="240" t="str">
        <f t="shared" si="71"/>
        <v/>
      </c>
      <c r="AW162" s="240" t="str">
        <f t="shared" si="72"/>
        <v/>
      </c>
      <c r="AX162" s="240" t="str">
        <f t="shared" si="73"/>
        <v/>
      </c>
      <c r="AY162" s="240" t="str">
        <f t="shared" si="74"/>
        <v/>
      </c>
      <c r="AZ162" s="1"/>
    </row>
    <row r="163" spans="1:52">
      <c r="A163" s="17" t="s">
        <v>1233</v>
      </c>
      <c r="B163" s="242" t="s">
        <v>1232</v>
      </c>
      <c r="C163" s="242"/>
      <c r="D163" s="242"/>
      <c r="O163" s="17" t="s">
        <v>1233</v>
      </c>
      <c r="P163" s="242">
        <v>517174</v>
      </c>
      <c r="Q163" s="242"/>
      <c r="R163" s="242"/>
      <c r="S163" s="242"/>
      <c r="T163" s="242"/>
      <c r="U163" s="242"/>
      <c r="V163" s="242"/>
      <c r="AD163" s="17" t="s">
        <v>1233</v>
      </c>
      <c r="AE163" s="242">
        <v>517174</v>
      </c>
      <c r="AF163" s="242" t="s">
        <v>1232</v>
      </c>
      <c r="AG163" s="242">
        <v>517174</v>
      </c>
      <c r="AJ163" s="17" t="s">
        <v>1233</v>
      </c>
      <c r="AK163" s="240" t="str">
        <f t="shared" si="60"/>
        <v>Honeywell Auto</v>
      </c>
      <c r="AL163" s="240" t="str">
        <f t="shared" si="61"/>
        <v/>
      </c>
      <c r="AM163" s="240" t="str">
        <f t="shared" si="62"/>
        <v/>
      </c>
      <c r="AN163" s="240" t="str">
        <f t="shared" si="63"/>
        <v/>
      </c>
      <c r="AO163" s="240" t="str">
        <f t="shared" si="64"/>
        <v/>
      </c>
      <c r="AP163" s="240" t="str">
        <f t="shared" si="65"/>
        <v/>
      </c>
      <c r="AQ163" s="240" t="str">
        <f t="shared" si="66"/>
        <v/>
      </c>
      <c r="AR163" s="240" t="str">
        <f t="shared" si="67"/>
        <v/>
      </c>
      <c r="AS163" s="240" t="str">
        <f t="shared" si="68"/>
        <v/>
      </c>
      <c r="AT163" s="240" t="str">
        <f t="shared" si="69"/>
        <v/>
      </c>
      <c r="AU163" s="240" t="str">
        <f t="shared" si="70"/>
        <v/>
      </c>
      <c r="AV163" s="240" t="str">
        <f t="shared" si="71"/>
        <v/>
      </c>
      <c r="AW163" s="240" t="str">
        <f t="shared" si="72"/>
        <v/>
      </c>
      <c r="AX163" s="240" t="str">
        <f t="shared" si="73"/>
        <v/>
      </c>
      <c r="AY163" s="240" t="str">
        <f t="shared" si="74"/>
        <v/>
      </c>
      <c r="AZ163" s="1"/>
    </row>
    <row r="164" spans="1:52">
      <c r="A164" s="17" t="s">
        <v>1234</v>
      </c>
      <c r="B164" s="242" t="s">
        <v>1235</v>
      </c>
      <c r="C164" s="242"/>
      <c r="D164" s="242"/>
      <c r="O164" s="17" t="s">
        <v>1234</v>
      </c>
      <c r="P164" s="242">
        <v>500049</v>
      </c>
      <c r="Q164" s="242"/>
      <c r="R164" s="242"/>
      <c r="S164" s="242"/>
      <c r="T164" s="242"/>
      <c r="U164" s="242"/>
      <c r="V164" s="242"/>
      <c r="AD164" s="17" t="s">
        <v>1234</v>
      </c>
      <c r="AE164" s="242">
        <v>500049</v>
      </c>
      <c r="AF164" s="242" t="s">
        <v>1235</v>
      </c>
      <c r="AG164" s="242">
        <v>500049</v>
      </c>
      <c r="AJ164" s="17" t="s">
        <v>1234</v>
      </c>
      <c r="AK164" s="240" t="str">
        <f t="shared" si="60"/>
        <v>Bharat Electron</v>
      </c>
      <c r="AL164" s="240" t="str">
        <f t="shared" si="61"/>
        <v/>
      </c>
      <c r="AM164" s="240" t="str">
        <f t="shared" si="62"/>
        <v/>
      </c>
      <c r="AN164" s="240" t="str">
        <f t="shared" si="63"/>
        <v/>
      </c>
      <c r="AO164" s="240" t="str">
        <f t="shared" si="64"/>
        <v/>
      </c>
      <c r="AP164" s="240" t="str">
        <f t="shared" si="65"/>
        <v/>
      </c>
      <c r="AQ164" s="240" t="str">
        <f t="shared" si="66"/>
        <v/>
      </c>
      <c r="AR164" s="240" t="str">
        <f t="shared" si="67"/>
        <v/>
      </c>
      <c r="AS164" s="240" t="str">
        <f t="shared" si="68"/>
        <v/>
      </c>
      <c r="AT164" s="240" t="str">
        <f t="shared" si="69"/>
        <v/>
      </c>
      <c r="AU164" s="240" t="str">
        <f t="shared" si="70"/>
        <v/>
      </c>
      <c r="AV164" s="240" t="str">
        <f t="shared" si="71"/>
        <v/>
      </c>
      <c r="AW164" s="240" t="str">
        <f t="shared" si="72"/>
        <v/>
      </c>
      <c r="AX164" s="240" t="str">
        <f t="shared" si="73"/>
        <v/>
      </c>
      <c r="AY164" s="240" t="str">
        <f t="shared" si="74"/>
        <v/>
      </c>
      <c r="AZ164" s="1"/>
    </row>
    <row r="165" spans="1:52">
      <c r="A165" s="17" t="s">
        <v>1237</v>
      </c>
      <c r="B165" s="242" t="s">
        <v>1236</v>
      </c>
      <c r="C165" s="242"/>
      <c r="D165" s="242"/>
      <c r="E165" s="242"/>
      <c r="F165" s="242"/>
      <c r="G165" s="242"/>
      <c r="H165" s="242"/>
      <c r="I165" s="242"/>
      <c r="O165" s="17" t="s">
        <v>1237</v>
      </c>
      <c r="P165" s="242">
        <v>532636</v>
      </c>
      <c r="Q165" s="242"/>
      <c r="R165" s="242"/>
      <c r="S165" s="242"/>
      <c r="T165" s="242"/>
      <c r="U165" s="242"/>
      <c r="V165" s="242"/>
      <c r="AD165" s="17" t="s">
        <v>1237</v>
      </c>
      <c r="AE165" s="242">
        <v>532636</v>
      </c>
      <c r="AF165" s="242" t="s">
        <v>1238</v>
      </c>
      <c r="AG165" s="242">
        <v>532636</v>
      </c>
      <c r="AJ165" s="17" t="s">
        <v>1237</v>
      </c>
      <c r="AK165" s="240" t="str">
        <f t="shared" si="60"/>
        <v>IIFL Holdings</v>
      </c>
      <c r="AL165" s="240" t="str">
        <f t="shared" si="61"/>
        <v/>
      </c>
      <c r="AM165" s="240" t="str">
        <f t="shared" si="62"/>
        <v/>
      </c>
      <c r="AN165" s="240" t="str">
        <f t="shared" si="63"/>
        <v/>
      </c>
      <c r="AO165" s="240" t="str">
        <f t="shared" si="64"/>
        <v/>
      </c>
      <c r="AP165" s="240" t="str">
        <f t="shared" si="65"/>
        <v/>
      </c>
      <c r="AQ165" s="240" t="str">
        <f t="shared" si="66"/>
        <v/>
      </c>
      <c r="AR165" s="240" t="str">
        <f t="shared" si="67"/>
        <v/>
      </c>
      <c r="AS165" s="240" t="str">
        <f t="shared" si="68"/>
        <v/>
      </c>
      <c r="AT165" s="240" t="str">
        <f t="shared" si="69"/>
        <v/>
      </c>
      <c r="AU165" s="240" t="str">
        <f t="shared" si="70"/>
        <v/>
      </c>
      <c r="AV165" s="240" t="str">
        <f t="shared" si="71"/>
        <v/>
      </c>
      <c r="AW165" s="240" t="str">
        <f t="shared" si="72"/>
        <v/>
      </c>
      <c r="AX165" s="240" t="str">
        <f t="shared" si="73"/>
        <v/>
      </c>
      <c r="AY165" s="240" t="str">
        <f t="shared" si="74"/>
        <v/>
      </c>
      <c r="AZ165" s="1"/>
    </row>
    <row r="166" spans="1:52">
      <c r="A166" s="17" t="s">
        <v>1239</v>
      </c>
      <c r="B166" s="242" t="s">
        <v>1240</v>
      </c>
      <c r="C166" s="242"/>
      <c r="D166" s="242"/>
      <c r="E166" s="242"/>
      <c r="F166" s="242"/>
      <c r="G166" s="242"/>
      <c r="H166" s="242"/>
      <c r="I166" s="242"/>
      <c r="O166" s="17" t="s">
        <v>1239</v>
      </c>
      <c r="P166" s="242">
        <v>523261</v>
      </c>
      <c r="Q166" s="242"/>
      <c r="R166" s="242"/>
      <c r="S166" s="242"/>
      <c r="T166" s="242"/>
      <c r="U166" s="242"/>
      <c r="V166" s="242"/>
      <c r="AD166" s="17" t="s">
        <v>1239</v>
      </c>
      <c r="AE166" s="242">
        <v>523261</v>
      </c>
      <c r="AF166" s="242" t="s">
        <v>1240</v>
      </c>
      <c r="AG166" s="242">
        <v>523261</v>
      </c>
      <c r="AJ166" s="17" t="s">
        <v>1239</v>
      </c>
      <c r="AK166" s="240" t="str">
        <f t="shared" si="60"/>
        <v>Venky's (India)</v>
      </c>
      <c r="AL166" s="240" t="str">
        <f t="shared" si="61"/>
        <v/>
      </c>
      <c r="AM166" s="240" t="str">
        <f t="shared" si="62"/>
        <v/>
      </c>
      <c r="AN166" s="240" t="str">
        <f t="shared" si="63"/>
        <v/>
      </c>
      <c r="AO166" s="240" t="str">
        <f t="shared" si="64"/>
        <v/>
      </c>
      <c r="AP166" s="240" t="str">
        <f t="shared" si="65"/>
        <v/>
      </c>
      <c r="AQ166" s="240" t="str">
        <f t="shared" si="66"/>
        <v/>
      </c>
      <c r="AR166" s="240" t="str">
        <f t="shared" si="67"/>
        <v/>
      </c>
      <c r="AS166" s="240" t="str">
        <f t="shared" si="68"/>
        <v/>
      </c>
      <c r="AT166" s="240" t="str">
        <f t="shared" si="69"/>
        <v/>
      </c>
      <c r="AU166" s="240" t="str">
        <f t="shared" si="70"/>
        <v/>
      </c>
      <c r="AV166" s="240" t="str">
        <f t="shared" si="71"/>
        <v/>
      </c>
      <c r="AW166" s="240" t="str">
        <f t="shared" si="72"/>
        <v/>
      </c>
      <c r="AX166" s="240" t="str">
        <f t="shared" si="73"/>
        <v/>
      </c>
      <c r="AY166" s="240" t="str">
        <f t="shared" si="74"/>
        <v/>
      </c>
      <c r="AZ166" s="1"/>
    </row>
    <row r="167" spans="1:52">
      <c r="A167" s="17" t="s">
        <v>1242</v>
      </c>
      <c r="B167" s="242" t="s">
        <v>1241</v>
      </c>
      <c r="C167" s="242"/>
      <c r="D167" s="242"/>
      <c r="E167" s="242"/>
      <c r="F167" s="242"/>
      <c r="G167" s="242"/>
      <c r="H167" s="242"/>
      <c r="I167" s="242"/>
      <c r="O167" s="17" t="s">
        <v>1242</v>
      </c>
      <c r="P167" s="242">
        <v>532921</v>
      </c>
      <c r="Q167" s="242"/>
      <c r="R167" s="242"/>
      <c r="S167" s="242"/>
      <c r="T167" s="242"/>
      <c r="U167" s="242"/>
      <c r="V167" s="242"/>
      <c r="AD167" s="17" t="s">
        <v>1242</v>
      </c>
      <c r="AE167" s="242">
        <v>532921</v>
      </c>
      <c r="AF167" s="242" t="s">
        <v>1241</v>
      </c>
      <c r="AG167" s="242">
        <v>532921</v>
      </c>
      <c r="AJ167" s="17" t="s">
        <v>1242</v>
      </c>
      <c r="AK167" s="240" t="str">
        <f t="shared" si="60"/>
        <v>Adani Ports</v>
      </c>
      <c r="AL167" s="240" t="str">
        <f t="shared" si="61"/>
        <v/>
      </c>
      <c r="AM167" s="240" t="str">
        <f t="shared" si="62"/>
        <v/>
      </c>
      <c r="AN167" s="240" t="str">
        <f t="shared" si="63"/>
        <v/>
      </c>
      <c r="AO167" s="240" t="str">
        <f t="shared" si="64"/>
        <v/>
      </c>
      <c r="AP167" s="240" t="str">
        <f t="shared" si="65"/>
        <v/>
      </c>
      <c r="AQ167" s="240" t="str">
        <f t="shared" si="66"/>
        <v/>
      </c>
      <c r="AR167" s="240" t="str">
        <f t="shared" si="67"/>
        <v/>
      </c>
      <c r="AS167" s="240" t="str">
        <f t="shared" si="68"/>
        <v/>
      </c>
      <c r="AT167" s="240" t="str">
        <f t="shared" si="69"/>
        <v/>
      </c>
      <c r="AU167" s="240" t="str">
        <f t="shared" si="70"/>
        <v/>
      </c>
      <c r="AV167" s="240" t="str">
        <f t="shared" si="71"/>
        <v/>
      </c>
      <c r="AW167" s="240" t="str">
        <f t="shared" si="72"/>
        <v/>
      </c>
      <c r="AX167" s="240" t="str">
        <f t="shared" si="73"/>
        <v/>
      </c>
      <c r="AY167" s="240" t="str">
        <f t="shared" si="74"/>
        <v/>
      </c>
      <c r="AZ167" s="1"/>
    </row>
    <row r="168" spans="1:52">
      <c r="A168" s="17" t="s">
        <v>1244</v>
      </c>
      <c r="B168" s="242" t="s">
        <v>1243</v>
      </c>
      <c r="C168" s="242" t="s">
        <v>1245</v>
      </c>
      <c r="D168" s="242"/>
      <c r="E168" s="242"/>
      <c r="F168" s="242"/>
      <c r="G168" s="242"/>
      <c r="H168" s="242"/>
      <c r="I168" s="242"/>
      <c r="O168" s="17" t="s">
        <v>1244</v>
      </c>
      <c r="P168" s="242">
        <v>532667</v>
      </c>
      <c r="Q168" s="242">
        <v>533553</v>
      </c>
      <c r="R168" s="242"/>
      <c r="S168" s="242"/>
      <c r="T168" s="242"/>
      <c r="U168" s="242"/>
      <c r="V168" s="242"/>
      <c r="AD168" s="17" t="s">
        <v>1244</v>
      </c>
      <c r="AE168" s="242">
        <v>532667</v>
      </c>
      <c r="AF168" s="242" t="s">
        <v>1243</v>
      </c>
      <c r="AG168" s="242">
        <v>532667</v>
      </c>
      <c r="AJ168" s="17" t="s">
        <v>1244</v>
      </c>
      <c r="AK168" s="240" t="str">
        <f t="shared" si="60"/>
        <v>Suzlon Energy</v>
      </c>
      <c r="AL168" s="240" t="str">
        <f t="shared" si="61"/>
        <v>TD Power Sys.</v>
      </c>
      <c r="AM168" s="240" t="str">
        <f t="shared" si="62"/>
        <v/>
      </c>
      <c r="AN168" s="240" t="str">
        <f t="shared" si="63"/>
        <v/>
      </c>
      <c r="AO168" s="240" t="str">
        <f t="shared" si="64"/>
        <v/>
      </c>
      <c r="AP168" s="240" t="str">
        <f t="shared" si="65"/>
        <v/>
      </c>
      <c r="AQ168" s="240" t="str">
        <f t="shared" si="66"/>
        <v/>
      </c>
      <c r="AR168" s="240" t="str">
        <f t="shared" si="67"/>
        <v/>
      </c>
      <c r="AS168" s="240" t="str">
        <f t="shared" si="68"/>
        <v/>
      </c>
      <c r="AT168" s="240" t="str">
        <f t="shared" si="69"/>
        <v/>
      </c>
      <c r="AU168" s="240" t="str">
        <f t="shared" si="70"/>
        <v/>
      </c>
      <c r="AV168" s="240" t="str">
        <f t="shared" si="71"/>
        <v/>
      </c>
      <c r="AW168" s="240" t="str">
        <f t="shared" si="72"/>
        <v/>
      </c>
      <c r="AX168" s="240" t="str">
        <f t="shared" si="73"/>
        <v/>
      </c>
      <c r="AY168" s="240" t="str">
        <f t="shared" si="74"/>
        <v/>
      </c>
      <c r="AZ168" s="1"/>
    </row>
    <row r="169" spans="1:52">
      <c r="A169" s="17" t="s">
        <v>1247</v>
      </c>
      <c r="B169" s="242" t="s">
        <v>1246</v>
      </c>
      <c r="C169" s="242" t="s">
        <v>1248</v>
      </c>
      <c r="D169" s="242"/>
      <c r="E169" s="242"/>
      <c r="F169" s="242"/>
      <c r="G169" s="242"/>
      <c r="H169" s="242"/>
      <c r="I169" s="242"/>
      <c r="O169" s="17" t="s">
        <v>1247</v>
      </c>
      <c r="P169" s="242">
        <v>500144</v>
      </c>
      <c r="Q169" s="242">
        <v>532374</v>
      </c>
      <c r="R169" s="242"/>
      <c r="S169" s="242"/>
      <c r="T169" s="242"/>
      <c r="U169" s="242"/>
      <c r="V169" s="242"/>
      <c r="AD169" s="17" t="s">
        <v>1247</v>
      </c>
      <c r="AE169" s="242">
        <v>500144</v>
      </c>
      <c r="AF169" s="242" t="s">
        <v>1246</v>
      </c>
      <c r="AG169" s="242">
        <v>500144</v>
      </c>
      <c r="AJ169" s="17" t="s">
        <v>1247</v>
      </c>
      <c r="AK169" s="240" t="str">
        <f t="shared" si="60"/>
        <v>Finolex Cables</v>
      </c>
      <c r="AL169" s="240" t="str">
        <f t="shared" si="61"/>
        <v>Sterlite Tech.</v>
      </c>
      <c r="AM169" s="240" t="str">
        <f t="shared" si="62"/>
        <v/>
      </c>
      <c r="AN169" s="240" t="str">
        <f t="shared" si="63"/>
        <v/>
      </c>
      <c r="AO169" s="240" t="str">
        <f t="shared" si="64"/>
        <v/>
      </c>
      <c r="AP169" s="240" t="str">
        <f t="shared" si="65"/>
        <v/>
      </c>
      <c r="AQ169" s="240" t="str">
        <f t="shared" si="66"/>
        <v/>
      </c>
      <c r="AR169" s="240" t="str">
        <f t="shared" si="67"/>
        <v/>
      </c>
      <c r="AS169" s="240" t="str">
        <f t="shared" si="68"/>
        <v/>
      </c>
      <c r="AT169" s="240" t="str">
        <f t="shared" si="69"/>
        <v/>
      </c>
      <c r="AU169" s="240" t="str">
        <f t="shared" si="70"/>
        <v/>
      </c>
      <c r="AV169" s="240" t="str">
        <f t="shared" si="71"/>
        <v/>
      </c>
      <c r="AW169" s="240" t="str">
        <f t="shared" si="72"/>
        <v/>
      </c>
      <c r="AX169" s="240" t="str">
        <f t="shared" si="73"/>
        <v/>
      </c>
      <c r="AY169" s="240" t="str">
        <f t="shared" si="74"/>
        <v/>
      </c>
      <c r="AZ169" s="1"/>
    </row>
    <row r="170" spans="1:52">
      <c r="A170" s="17" t="s">
        <v>1249</v>
      </c>
      <c r="B170" s="242" t="s">
        <v>370</v>
      </c>
      <c r="C170" s="242" t="s">
        <v>369</v>
      </c>
      <c r="D170" s="242"/>
      <c r="E170" s="242"/>
      <c r="F170" s="242"/>
      <c r="G170" s="242"/>
      <c r="H170" s="242"/>
      <c r="I170" s="242"/>
      <c r="O170" s="17" t="s">
        <v>1249</v>
      </c>
      <c r="P170" s="242">
        <v>532622</v>
      </c>
      <c r="Q170" s="242">
        <v>532749</v>
      </c>
      <c r="R170" s="242"/>
      <c r="S170" s="242"/>
      <c r="T170" s="242"/>
      <c r="U170" s="242"/>
      <c r="V170" s="242"/>
      <c r="AD170" s="17" t="s">
        <v>1249</v>
      </c>
      <c r="AE170" s="242">
        <v>532622</v>
      </c>
      <c r="AF170" s="242" t="s">
        <v>370</v>
      </c>
      <c r="AG170" s="242">
        <v>532622</v>
      </c>
      <c r="AJ170" s="17" t="s">
        <v>1249</v>
      </c>
      <c r="AK170" s="240" t="str">
        <f t="shared" si="60"/>
        <v>Gateway Distr.</v>
      </c>
      <c r="AL170" s="240" t="str">
        <f t="shared" si="61"/>
        <v>Allcargo Logist.</v>
      </c>
      <c r="AM170" s="240" t="str">
        <f t="shared" si="62"/>
        <v/>
      </c>
      <c r="AN170" s="240" t="str">
        <f t="shared" si="63"/>
        <v/>
      </c>
      <c r="AO170" s="240" t="str">
        <f t="shared" si="64"/>
        <v/>
      </c>
      <c r="AP170" s="240" t="str">
        <f t="shared" si="65"/>
        <v/>
      </c>
      <c r="AQ170" s="240" t="str">
        <f t="shared" si="66"/>
        <v/>
      </c>
      <c r="AR170" s="240" t="str">
        <f t="shared" si="67"/>
        <v/>
      </c>
      <c r="AS170" s="240" t="str">
        <f t="shared" si="68"/>
        <v/>
      </c>
      <c r="AT170" s="240" t="str">
        <f t="shared" si="69"/>
        <v/>
      </c>
      <c r="AU170" s="240" t="str">
        <f t="shared" si="70"/>
        <v/>
      </c>
      <c r="AV170" s="240" t="str">
        <f t="shared" si="71"/>
        <v/>
      </c>
      <c r="AW170" s="240" t="str">
        <f t="shared" si="72"/>
        <v/>
      </c>
      <c r="AX170" s="240" t="str">
        <f t="shared" si="73"/>
        <v/>
      </c>
      <c r="AY170" s="240" t="str">
        <f t="shared" si="74"/>
        <v/>
      </c>
      <c r="AZ170" s="1"/>
    </row>
    <row r="171" spans="1:52">
      <c r="A171" s="17" t="s">
        <v>1250</v>
      </c>
      <c r="B171" s="242" t="s">
        <v>1251</v>
      </c>
      <c r="C171" s="242"/>
      <c r="D171" s="242"/>
      <c r="E171" s="242"/>
      <c r="O171" s="17" t="s">
        <v>1250</v>
      </c>
      <c r="P171" s="242">
        <v>531344</v>
      </c>
      <c r="Q171" s="242"/>
      <c r="R171" s="242"/>
      <c r="S171" s="242"/>
      <c r="T171" s="242"/>
      <c r="U171" s="242"/>
      <c r="V171" s="242"/>
      <c r="AD171" s="17" t="s">
        <v>1250</v>
      </c>
      <c r="AE171" s="242">
        <v>531344</v>
      </c>
      <c r="AF171" s="242" t="s">
        <v>1251</v>
      </c>
      <c r="AG171" s="242">
        <v>531344</v>
      </c>
      <c r="AJ171" s="17" t="s">
        <v>1250</v>
      </c>
      <c r="AK171" s="240" t="str">
        <f t="shared" si="60"/>
        <v>Container Corpn.</v>
      </c>
      <c r="AL171" s="240" t="str">
        <f t="shared" si="61"/>
        <v/>
      </c>
      <c r="AM171" s="240" t="str">
        <f t="shared" si="62"/>
        <v/>
      </c>
      <c r="AN171" s="240" t="str">
        <f t="shared" si="63"/>
        <v/>
      </c>
      <c r="AO171" s="240" t="str">
        <f t="shared" si="64"/>
        <v/>
      </c>
      <c r="AP171" s="240" t="str">
        <f t="shared" si="65"/>
        <v/>
      </c>
      <c r="AQ171" s="240" t="str">
        <f t="shared" si="66"/>
        <v/>
      </c>
      <c r="AR171" s="240" t="str">
        <f t="shared" si="67"/>
        <v/>
      </c>
      <c r="AS171" s="240" t="str">
        <f t="shared" si="68"/>
        <v/>
      </c>
      <c r="AT171" s="240" t="str">
        <f t="shared" si="69"/>
        <v/>
      </c>
      <c r="AU171" s="240" t="str">
        <f t="shared" si="70"/>
        <v/>
      </c>
      <c r="AV171" s="240" t="str">
        <f t="shared" si="71"/>
        <v/>
      </c>
      <c r="AW171" s="240" t="str">
        <f t="shared" si="72"/>
        <v/>
      </c>
      <c r="AX171" s="240" t="str">
        <f t="shared" si="73"/>
        <v/>
      </c>
      <c r="AY171" s="240" t="str">
        <f t="shared" si="74"/>
        <v/>
      </c>
      <c r="AZ171" s="1"/>
    </row>
    <row r="172" spans="1:52">
      <c r="A172" s="17" t="s">
        <v>1252</v>
      </c>
      <c r="B172" s="242" t="s">
        <v>368</v>
      </c>
      <c r="C172" s="242" t="s">
        <v>1253</v>
      </c>
      <c r="D172" s="242"/>
      <c r="E172" s="242"/>
      <c r="O172" s="17" t="s">
        <v>1252</v>
      </c>
      <c r="P172" s="242">
        <v>533144</v>
      </c>
      <c r="Q172" s="242">
        <v>500413</v>
      </c>
      <c r="R172" s="242"/>
      <c r="S172" s="242"/>
      <c r="T172" s="242"/>
      <c r="U172" s="242"/>
      <c r="V172" s="242"/>
      <c r="AD172" s="17" t="s">
        <v>1252</v>
      </c>
      <c r="AE172" s="242">
        <v>533144</v>
      </c>
      <c r="AF172" s="242" t="s">
        <v>368</v>
      </c>
      <c r="AG172" s="242">
        <v>533144</v>
      </c>
      <c r="AJ172" s="17" t="s">
        <v>1252</v>
      </c>
      <c r="AK172" s="240" t="str">
        <f t="shared" si="60"/>
        <v>Cox &amp; Kings</v>
      </c>
      <c r="AL172" s="240" t="str">
        <f t="shared" si="61"/>
        <v>Thomas Cook (I)</v>
      </c>
      <c r="AM172" s="240" t="str">
        <f t="shared" si="62"/>
        <v/>
      </c>
      <c r="AN172" s="240" t="str">
        <f t="shared" si="63"/>
        <v/>
      </c>
      <c r="AO172" s="240" t="str">
        <f t="shared" si="64"/>
        <v/>
      </c>
      <c r="AP172" s="240" t="str">
        <f t="shared" si="65"/>
        <v/>
      </c>
      <c r="AQ172" s="240" t="str">
        <f t="shared" si="66"/>
        <v/>
      </c>
      <c r="AR172" s="240" t="str">
        <f t="shared" si="67"/>
        <v/>
      </c>
      <c r="AS172" s="240" t="str">
        <f t="shared" si="68"/>
        <v/>
      </c>
      <c r="AT172" s="240" t="str">
        <f t="shared" si="69"/>
        <v/>
      </c>
      <c r="AU172" s="240" t="str">
        <f t="shared" si="70"/>
        <v/>
      </c>
      <c r="AV172" s="240" t="str">
        <f t="shared" si="71"/>
        <v/>
      </c>
      <c r="AW172" s="240" t="str">
        <f t="shared" si="72"/>
        <v/>
      </c>
      <c r="AX172" s="240" t="str">
        <f t="shared" si="73"/>
        <v/>
      </c>
      <c r="AY172" s="240" t="str">
        <f t="shared" si="74"/>
        <v/>
      </c>
      <c r="AZ172" s="1"/>
    </row>
    <row r="173" spans="1:52">
      <c r="A173" s="17" t="s">
        <v>1258</v>
      </c>
      <c r="B173" s="242" t="s">
        <v>1259</v>
      </c>
      <c r="C173" s="242" t="s">
        <v>1260</v>
      </c>
      <c r="D173" s="242" t="s">
        <v>1261</v>
      </c>
      <c r="O173" s="17" t="s">
        <v>1258</v>
      </c>
      <c r="P173" s="242">
        <v>500472</v>
      </c>
      <c r="Q173" s="242">
        <v>505790</v>
      </c>
      <c r="R173" s="242">
        <v>522113</v>
      </c>
      <c r="S173" s="242"/>
      <c r="T173" s="242"/>
      <c r="U173" s="242"/>
      <c r="V173" s="242"/>
      <c r="AD173" s="17" t="s">
        <v>1258</v>
      </c>
      <c r="AE173" s="242">
        <v>500472</v>
      </c>
      <c r="AF173" s="242" t="s">
        <v>1259</v>
      </c>
      <c r="AG173" s="242">
        <v>500472</v>
      </c>
      <c r="AJ173" s="17" t="s">
        <v>1258</v>
      </c>
      <c r="AK173" s="240" t="str">
        <f t="shared" si="60"/>
        <v>SKF India</v>
      </c>
      <c r="AL173" s="240" t="str">
        <f t="shared" si="61"/>
        <v>Fag Bearings</v>
      </c>
      <c r="AM173" s="240" t="str">
        <f t="shared" si="62"/>
        <v>Timken India</v>
      </c>
      <c r="AN173" s="240" t="str">
        <f t="shared" si="63"/>
        <v/>
      </c>
      <c r="AO173" s="240" t="str">
        <f t="shared" si="64"/>
        <v/>
      </c>
      <c r="AP173" s="240" t="str">
        <f t="shared" si="65"/>
        <v/>
      </c>
      <c r="AQ173" s="240" t="str">
        <f t="shared" si="66"/>
        <v/>
      </c>
      <c r="AR173" s="240" t="str">
        <f t="shared" si="67"/>
        <v/>
      </c>
      <c r="AS173" s="240" t="str">
        <f t="shared" si="68"/>
        <v/>
      </c>
      <c r="AT173" s="240" t="str">
        <f t="shared" si="69"/>
        <v/>
      </c>
      <c r="AU173" s="240" t="str">
        <f t="shared" si="70"/>
        <v/>
      </c>
      <c r="AV173" s="240" t="str">
        <f t="shared" si="71"/>
        <v/>
      </c>
      <c r="AW173" s="240" t="str">
        <f t="shared" si="72"/>
        <v/>
      </c>
      <c r="AX173" s="240" t="str">
        <f t="shared" si="73"/>
        <v/>
      </c>
      <c r="AY173" s="240" t="str">
        <f t="shared" si="74"/>
        <v/>
      </c>
      <c r="AZ173" s="1"/>
    </row>
    <row r="174" spans="1:52">
      <c r="A174" s="17"/>
      <c r="AD174" s="17" t="s">
        <v>773</v>
      </c>
      <c r="AE174" s="242">
        <v>506076</v>
      </c>
      <c r="AF174" s="242" t="s">
        <v>1012</v>
      </c>
      <c r="AG174" s="242">
        <v>506076</v>
      </c>
      <c r="AK174" s="240" t="str">
        <f t="shared" si="60"/>
        <v/>
      </c>
      <c r="AL174" s="240" t="str">
        <f t="shared" si="61"/>
        <v/>
      </c>
      <c r="AM174" s="240" t="str">
        <f t="shared" si="62"/>
        <v/>
      </c>
      <c r="AN174" s="240" t="str">
        <f t="shared" si="63"/>
        <v/>
      </c>
      <c r="AO174" s="240" t="str">
        <f t="shared" si="64"/>
        <v/>
      </c>
      <c r="AP174" s="240" t="str">
        <f t="shared" si="65"/>
        <v/>
      </c>
      <c r="AQ174" s="240" t="str">
        <f t="shared" si="66"/>
        <v/>
      </c>
      <c r="AR174" s="240" t="str">
        <f t="shared" si="67"/>
        <v/>
      </c>
      <c r="AS174" s="240" t="str">
        <f t="shared" si="68"/>
        <v/>
      </c>
      <c r="AT174" s="240" t="str">
        <f t="shared" si="69"/>
        <v/>
      </c>
      <c r="AU174" s="240" t="str">
        <f t="shared" si="70"/>
        <v/>
      </c>
      <c r="AV174" s="240" t="str">
        <f t="shared" si="71"/>
        <v/>
      </c>
      <c r="AW174" s="240" t="str">
        <f t="shared" si="72"/>
        <v/>
      </c>
      <c r="AX174" s="240" t="str">
        <f t="shared" si="73"/>
        <v/>
      </c>
      <c r="AY174" s="240" t="str">
        <f t="shared" si="74"/>
        <v/>
      </c>
      <c r="AZ174" s="1"/>
    </row>
    <row r="175" spans="1:52">
      <c r="A175" s="17"/>
      <c r="AD175" s="17" t="s">
        <v>322</v>
      </c>
      <c r="AE175" s="240">
        <v>531410</v>
      </c>
      <c r="AF175" s="242" t="s">
        <v>1013</v>
      </c>
      <c r="AG175" s="240">
        <v>531410</v>
      </c>
      <c r="AK175" s="240" t="str">
        <f t="shared" si="60"/>
        <v/>
      </c>
      <c r="AL175" s="240" t="str">
        <f t="shared" si="61"/>
        <v/>
      </c>
      <c r="AM175" s="240" t="str">
        <f t="shared" si="62"/>
        <v/>
      </c>
      <c r="AN175" s="240" t="str">
        <f t="shared" si="63"/>
        <v/>
      </c>
      <c r="AO175" s="240" t="str">
        <f t="shared" si="64"/>
        <v/>
      </c>
      <c r="AP175" s="240" t="str">
        <f t="shared" si="65"/>
        <v/>
      </c>
      <c r="AQ175" s="240" t="str">
        <f t="shared" si="66"/>
        <v/>
      </c>
      <c r="AR175" s="240" t="str">
        <f t="shared" si="67"/>
        <v/>
      </c>
      <c r="AS175" s="240" t="str">
        <f t="shared" si="68"/>
        <v/>
      </c>
      <c r="AT175" s="240" t="str">
        <f t="shared" si="69"/>
        <v/>
      </c>
      <c r="AU175" s="240" t="str">
        <f t="shared" si="70"/>
        <v/>
      </c>
      <c r="AV175" s="240" t="str">
        <f t="shared" si="71"/>
        <v/>
      </c>
      <c r="AW175" s="240" t="str">
        <f t="shared" si="72"/>
        <v/>
      </c>
      <c r="AX175" s="240" t="str">
        <f t="shared" si="73"/>
        <v/>
      </c>
      <c r="AY175" s="240" t="str">
        <f t="shared" si="74"/>
        <v/>
      </c>
      <c r="AZ175" s="1"/>
    </row>
    <row r="176" spans="1:52">
      <c r="A176" s="17"/>
      <c r="AD176" s="17" t="s">
        <v>321</v>
      </c>
      <c r="AE176" s="240">
        <v>500008</v>
      </c>
      <c r="AF176" s="242" t="s">
        <v>768</v>
      </c>
      <c r="AG176" s="240">
        <v>500008</v>
      </c>
      <c r="AK176" s="240" t="str">
        <f t="shared" si="60"/>
        <v/>
      </c>
      <c r="AL176" s="240" t="str">
        <f t="shared" si="61"/>
        <v/>
      </c>
      <c r="AM176" s="240" t="str">
        <f t="shared" si="62"/>
        <v/>
      </c>
      <c r="AN176" s="240" t="str">
        <f t="shared" si="63"/>
        <v/>
      </c>
      <c r="AO176" s="240" t="str">
        <f t="shared" si="64"/>
        <v/>
      </c>
      <c r="AP176" s="240" t="str">
        <f t="shared" si="65"/>
        <v/>
      </c>
      <c r="AQ176" s="240" t="str">
        <f t="shared" si="66"/>
        <v/>
      </c>
      <c r="AR176" s="240" t="str">
        <f t="shared" si="67"/>
        <v/>
      </c>
      <c r="AS176" s="240" t="str">
        <f t="shared" si="68"/>
        <v/>
      </c>
      <c r="AT176" s="240" t="str">
        <f t="shared" si="69"/>
        <v/>
      </c>
      <c r="AU176" s="240" t="str">
        <f t="shared" si="70"/>
        <v/>
      </c>
      <c r="AV176" s="240" t="str">
        <f t="shared" si="71"/>
        <v/>
      </c>
      <c r="AW176" s="240" t="str">
        <f t="shared" si="72"/>
        <v/>
      </c>
      <c r="AX176" s="240" t="str">
        <f t="shared" si="73"/>
        <v/>
      </c>
      <c r="AY176" s="240" t="str">
        <f t="shared" si="74"/>
        <v/>
      </c>
      <c r="AZ176" s="1"/>
    </row>
    <row r="177" spans="1:52">
      <c r="A177" s="17"/>
      <c r="AD177" s="17" t="s">
        <v>320</v>
      </c>
      <c r="AE177" s="240">
        <v>520056</v>
      </c>
      <c r="AF177" s="242" t="s">
        <v>929</v>
      </c>
      <c r="AG177" s="240">
        <v>520056</v>
      </c>
      <c r="AK177" s="240" t="str">
        <f t="shared" si="60"/>
        <v/>
      </c>
      <c r="AL177" s="240" t="str">
        <f t="shared" si="61"/>
        <v/>
      </c>
      <c r="AM177" s="240" t="str">
        <f t="shared" si="62"/>
        <v/>
      </c>
      <c r="AN177" s="240" t="str">
        <f t="shared" si="63"/>
        <v/>
      </c>
      <c r="AO177" s="240" t="str">
        <f t="shared" si="64"/>
        <v/>
      </c>
      <c r="AP177" s="240" t="str">
        <f t="shared" si="65"/>
        <v/>
      </c>
      <c r="AQ177" s="240" t="str">
        <f t="shared" si="66"/>
        <v/>
      </c>
      <c r="AR177" s="240" t="str">
        <f t="shared" si="67"/>
        <v/>
      </c>
      <c r="AS177" s="240" t="str">
        <f t="shared" si="68"/>
        <v/>
      </c>
      <c r="AT177" s="240" t="str">
        <f t="shared" si="69"/>
        <v/>
      </c>
      <c r="AU177" s="240" t="str">
        <f t="shared" si="70"/>
        <v/>
      </c>
      <c r="AV177" s="240" t="str">
        <f t="shared" si="71"/>
        <v/>
      </c>
      <c r="AW177" s="240" t="str">
        <f t="shared" si="72"/>
        <v/>
      </c>
      <c r="AX177" s="240" t="str">
        <f t="shared" si="73"/>
        <v/>
      </c>
      <c r="AY177" s="240" t="str">
        <f t="shared" si="74"/>
        <v/>
      </c>
      <c r="AZ177" s="1"/>
    </row>
    <row r="178" spans="1:52">
      <c r="AD178" s="17" t="s">
        <v>347</v>
      </c>
      <c r="AE178" s="240">
        <v>500182</v>
      </c>
      <c r="AF178" s="243" t="s">
        <v>766</v>
      </c>
      <c r="AG178" s="240">
        <v>500182</v>
      </c>
      <c r="AM178" s="17"/>
      <c r="AN178" s="240"/>
      <c r="AO178" s="240"/>
      <c r="AP178" s="240"/>
      <c r="AQ178" s="240"/>
      <c r="AR178" s="240"/>
      <c r="AS178" s="240"/>
      <c r="AT178" s="240"/>
      <c r="AU178" s="240"/>
      <c r="AV178" s="240"/>
      <c r="AW178" s="1"/>
      <c r="AX178" s="1"/>
      <c r="AY178" s="1"/>
      <c r="AZ178" s="1"/>
    </row>
    <row r="179" spans="1:52">
      <c r="AD179" s="17" t="s">
        <v>296</v>
      </c>
      <c r="AE179" s="240">
        <v>505200</v>
      </c>
      <c r="AF179" s="242" t="s">
        <v>762</v>
      </c>
      <c r="AG179" s="240">
        <v>505200</v>
      </c>
      <c r="AM179" s="17"/>
      <c r="AN179" s="240"/>
      <c r="AO179" s="240"/>
      <c r="AP179" s="240"/>
      <c r="AQ179" s="240"/>
      <c r="AR179" s="240"/>
      <c r="AS179" s="240"/>
      <c r="AT179" s="240"/>
      <c r="AU179" s="240"/>
      <c r="AV179" s="240"/>
      <c r="AW179" s="1"/>
      <c r="AX179" s="1"/>
      <c r="AY179" s="1"/>
      <c r="AZ179" s="1"/>
    </row>
    <row r="180" spans="1:52">
      <c r="AD180" s="17" t="s">
        <v>319</v>
      </c>
      <c r="AE180" s="240">
        <v>500520</v>
      </c>
      <c r="AF180" s="242" t="s">
        <v>760</v>
      </c>
      <c r="AG180" s="240">
        <v>500520</v>
      </c>
      <c r="AM180" s="17"/>
      <c r="AN180" s="240"/>
      <c r="AO180" s="240"/>
      <c r="AP180" s="240"/>
      <c r="AQ180" s="240"/>
      <c r="AR180" s="240"/>
      <c r="AS180" s="240"/>
      <c r="AT180" s="240"/>
      <c r="AU180" s="240"/>
      <c r="AV180" s="240"/>
      <c r="AW180" s="1"/>
      <c r="AX180" s="1"/>
      <c r="AY180" s="1"/>
      <c r="AZ180" s="1"/>
    </row>
    <row r="181" spans="1:52">
      <c r="AD181" s="17" t="s">
        <v>272</v>
      </c>
      <c r="AE181" s="240">
        <v>532648</v>
      </c>
      <c r="AF181" s="242" t="s">
        <v>751</v>
      </c>
      <c r="AG181" s="240">
        <v>532648</v>
      </c>
      <c r="AM181" s="17"/>
      <c r="AN181" s="240"/>
      <c r="AO181" s="240"/>
      <c r="AP181" s="240"/>
      <c r="AQ181" s="240"/>
      <c r="AR181" s="240"/>
      <c r="AS181" s="240"/>
      <c r="AT181" s="240"/>
      <c r="AU181" s="240"/>
      <c r="AV181" s="240"/>
      <c r="AW181" s="1"/>
      <c r="AX181" s="1"/>
      <c r="AY181" s="1"/>
      <c r="AZ181" s="1"/>
    </row>
    <row r="182" spans="1:52">
      <c r="AD182" s="17" t="s">
        <v>295</v>
      </c>
      <c r="AE182" s="240">
        <v>532174</v>
      </c>
      <c r="AF182" s="242" t="s">
        <v>756</v>
      </c>
      <c r="AG182" s="240">
        <v>532174</v>
      </c>
      <c r="AM182" s="17"/>
      <c r="AN182" s="240"/>
      <c r="AO182" s="240"/>
      <c r="AP182" s="240"/>
      <c r="AQ182" s="240"/>
      <c r="AR182" s="240"/>
      <c r="AS182" s="240"/>
      <c r="AT182" s="240"/>
      <c r="AU182" s="240"/>
      <c r="AV182" s="240"/>
      <c r="AW182" s="1"/>
      <c r="AX182" s="1"/>
      <c r="AY182" s="1"/>
      <c r="AZ182" s="1"/>
    </row>
    <row r="183" spans="1:52">
      <c r="AD183" s="17" t="s">
        <v>257</v>
      </c>
      <c r="AE183" s="240">
        <v>532209</v>
      </c>
      <c r="AF183" s="242" t="s">
        <v>753</v>
      </c>
      <c r="AG183" s="240">
        <v>532209</v>
      </c>
      <c r="AM183" s="17"/>
      <c r="AN183" s="240"/>
      <c r="AO183" s="240"/>
      <c r="AP183" s="240"/>
      <c r="AQ183" s="240"/>
      <c r="AR183" s="240"/>
      <c r="AS183" s="240"/>
      <c r="AT183" s="240"/>
      <c r="AU183" s="240"/>
      <c r="AV183" s="240"/>
      <c r="AW183" s="1"/>
      <c r="AX183" s="1"/>
      <c r="AY183" s="1"/>
      <c r="AZ183" s="1"/>
    </row>
    <row r="184" spans="1:52">
      <c r="AD184" s="17" t="s">
        <v>256</v>
      </c>
      <c r="AE184" s="240">
        <v>532772</v>
      </c>
      <c r="AF184" s="242" t="s">
        <v>1017</v>
      </c>
      <c r="AG184" s="240">
        <v>532772</v>
      </c>
      <c r="AM184" s="17"/>
      <c r="AN184" s="240"/>
      <c r="AO184" s="240"/>
      <c r="AP184" s="240"/>
      <c r="AQ184" s="240"/>
      <c r="AR184" s="240"/>
      <c r="AS184" s="240"/>
      <c r="AT184" s="240"/>
      <c r="AU184" s="240"/>
      <c r="AV184" s="240"/>
      <c r="AW184" s="1"/>
      <c r="AX184" s="1"/>
      <c r="AY184" s="1"/>
      <c r="AZ184" s="1"/>
    </row>
    <row r="185" spans="1:52">
      <c r="AD185" s="17" t="s">
        <v>255</v>
      </c>
      <c r="AE185" s="240">
        <v>532461</v>
      </c>
      <c r="AF185" s="242" t="s">
        <v>740</v>
      </c>
      <c r="AG185" s="240">
        <v>532461</v>
      </c>
      <c r="AM185" s="17"/>
      <c r="AN185" s="240"/>
      <c r="AO185" s="240"/>
      <c r="AP185" s="240"/>
      <c r="AQ185" s="240"/>
      <c r="AR185" s="240"/>
      <c r="AS185" s="240"/>
      <c r="AT185" s="240"/>
      <c r="AU185" s="240"/>
      <c r="AV185" s="240"/>
      <c r="AW185" s="1"/>
      <c r="AX185" s="1"/>
      <c r="AY185" s="1"/>
      <c r="AZ185" s="1"/>
    </row>
    <row r="186" spans="1:52">
      <c r="AD186" s="17" t="s">
        <v>318</v>
      </c>
      <c r="AE186" s="240">
        <v>532885</v>
      </c>
      <c r="AF186" s="242" t="s">
        <v>1018</v>
      </c>
      <c r="AG186" s="240">
        <v>532885</v>
      </c>
      <c r="AM186" s="17"/>
      <c r="AN186" s="240"/>
      <c r="AO186" s="240"/>
      <c r="AP186" s="240"/>
      <c r="AQ186" s="240"/>
      <c r="AR186" s="240"/>
      <c r="AS186" s="240"/>
      <c r="AT186" s="240"/>
      <c r="AU186" s="240"/>
      <c r="AV186" s="240"/>
      <c r="AW186" s="1"/>
      <c r="AX186" s="1"/>
      <c r="AY186" s="1"/>
      <c r="AZ186" s="1"/>
    </row>
    <row r="187" spans="1:52">
      <c r="AD187" s="17" t="s">
        <v>346</v>
      </c>
      <c r="AE187" s="240">
        <v>501061</v>
      </c>
      <c r="AF187" s="242" t="s">
        <v>1028</v>
      </c>
      <c r="AG187" s="240">
        <v>501061</v>
      </c>
      <c r="AM187" s="17"/>
      <c r="AN187" s="240"/>
      <c r="AO187" s="240"/>
      <c r="AP187" s="240"/>
      <c r="AQ187" s="240"/>
      <c r="AR187" s="240"/>
      <c r="AS187" s="240"/>
      <c r="AT187" s="240"/>
      <c r="AU187" s="240"/>
      <c r="AV187" s="240"/>
      <c r="AW187" s="240">
        <v>532523</v>
      </c>
      <c r="AX187" s="240">
        <v>500420</v>
      </c>
      <c r="AY187" s="240">
        <v>524494</v>
      </c>
      <c r="AZ187" s="240"/>
    </row>
    <row r="188" spans="1:52">
      <c r="AD188" s="17" t="s">
        <v>317</v>
      </c>
      <c r="AE188" s="240">
        <v>532432</v>
      </c>
      <c r="AF188" s="242" t="s">
        <v>736</v>
      </c>
      <c r="AG188" s="240">
        <v>532432</v>
      </c>
      <c r="AM188" s="17"/>
      <c r="AN188" s="240"/>
      <c r="AO188" s="240"/>
      <c r="AP188" s="240"/>
      <c r="AQ188" s="240"/>
      <c r="AR188" s="240"/>
      <c r="AS188" s="240"/>
      <c r="AT188" s="240"/>
      <c r="AU188" s="240"/>
      <c r="AV188" s="240"/>
      <c r="AW188" s="1"/>
      <c r="AX188" s="1"/>
      <c r="AY188" s="1"/>
      <c r="AZ188" s="1"/>
    </row>
    <row r="189" spans="1:52">
      <c r="AD189" s="17" t="s">
        <v>345</v>
      </c>
      <c r="AE189" s="240">
        <v>507514</v>
      </c>
      <c r="AF189" s="242" t="s">
        <v>1035</v>
      </c>
      <c r="AG189" s="240">
        <v>507514</v>
      </c>
      <c r="AM189" s="17"/>
      <c r="AN189" s="240"/>
      <c r="AO189" s="240"/>
      <c r="AP189" s="240"/>
      <c r="AQ189" s="240"/>
      <c r="AR189" s="240"/>
      <c r="AS189" s="240"/>
      <c r="AT189" s="240"/>
      <c r="AU189" s="240"/>
      <c r="AV189" s="240"/>
      <c r="AW189" s="1"/>
      <c r="AX189" s="1"/>
      <c r="AY189" s="1"/>
      <c r="AZ189" s="1"/>
    </row>
    <row r="190" spans="1:52">
      <c r="AD190" s="17" t="s">
        <v>294</v>
      </c>
      <c r="AE190" s="240">
        <v>500493</v>
      </c>
      <c r="AF190" s="242" t="s">
        <v>732</v>
      </c>
      <c r="AG190" s="240">
        <v>500493</v>
      </c>
      <c r="AM190" s="17"/>
      <c r="AN190" s="240"/>
      <c r="AO190" s="240"/>
      <c r="AP190" s="240"/>
      <c r="AQ190" s="240"/>
      <c r="AR190" s="240"/>
      <c r="AS190" s="240"/>
      <c r="AT190" s="240"/>
      <c r="AU190" s="240"/>
      <c r="AV190" s="240"/>
      <c r="AW190" s="1"/>
      <c r="AX190" s="1"/>
      <c r="AY190" s="1"/>
      <c r="AZ190" s="1"/>
    </row>
    <row r="191" spans="1:52">
      <c r="AD191" s="17" t="s">
        <v>254</v>
      </c>
      <c r="AE191" s="240">
        <v>500425</v>
      </c>
      <c r="AF191" s="242" t="s">
        <v>729</v>
      </c>
      <c r="AG191" s="240">
        <v>500425</v>
      </c>
      <c r="AM191" s="17"/>
      <c r="AN191" s="240"/>
      <c r="AO191" s="240"/>
      <c r="AP191" s="240"/>
      <c r="AQ191" s="240"/>
      <c r="AR191" s="240"/>
      <c r="AS191" s="240"/>
      <c r="AT191" s="240"/>
      <c r="AU191" s="240"/>
      <c r="AV191" s="240"/>
      <c r="AW191" s="1"/>
      <c r="AX191" s="1"/>
      <c r="AY191" s="1"/>
      <c r="AZ191" s="1"/>
    </row>
    <row r="192" spans="1:52">
      <c r="AD192" s="17" t="s">
        <v>344</v>
      </c>
      <c r="AE192" s="240">
        <v>500380</v>
      </c>
      <c r="AF192" s="242" t="s">
        <v>727</v>
      </c>
      <c r="AG192" s="240">
        <v>500380</v>
      </c>
      <c r="AM192" s="17"/>
      <c r="AN192" s="240"/>
      <c r="AO192" s="240"/>
      <c r="AP192" s="240"/>
      <c r="AQ192" s="240"/>
      <c r="AR192" s="240"/>
      <c r="AS192" s="240"/>
      <c r="AT192" s="240"/>
      <c r="AU192" s="240"/>
      <c r="AV192" s="240"/>
      <c r="AW192" s="1"/>
      <c r="AX192" s="1"/>
      <c r="AY192" s="1"/>
      <c r="AZ192" s="1"/>
    </row>
    <row r="193" spans="30:52">
      <c r="AD193" s="17" t="s">
        <v>343</v>
      </c>
      <c r="AE193" s="240">
        <v>500292</v>
      </c>
      <c r="AF193" s="242" t="s">
        <v>1038</v>
      </c>
      <c r="AG193" s="240">
        <v>500292</v>
      </c>
      <c r="AM193" s="17"/>
      <c r="AN193" s="240"/>
      <c r="AO193" s="240"/>
      <c r="AP193" s="240"/>
      <c r="AQ193" s="240"/>
      <c r="AR193" s="240"/>
      <c r="AS193" s="240"/>
      <c r="AT193" s="240"/>
      <c r="AU193" s="240"/>
      <c r="AV193" s="240"/>
      <c r="AW193" s="1"/>
      <c r="AX193" s="1"/>
      <c r="AY193" s="1"/>
      <c r="AZ193" s="1"/>
    </row>
    <row r="194" spans="30:52">
      <c r="AD194" s="17" t="s">
        <v>293</v>
      </c>
      <c r="AE194" s="240">
        <v>590066</v>
      </c>
      <c r="AF194" s="242" t="s">
        <v>947</v>
      </c>
      <c r="AG194" s="240">
        <v>590066</v>
      </c>
      <c r="AM194" s="17"/>
      <c r="AN194" s="240"/>
      <c r="AO194" s="240"/>
      <c r="AP194" s="240"/>
      <c r="AQ194" s="240"/>
      <c r="AR194" s="240"/>
      <c r="AS194" s="240"/>
      <c r="AT194" s="240"/>
      <c r="AU194" s="240"/>
      <c r="AV194" s="240"/>
      <c r="AW194" s="1"/>
      <c r="AX194" s="1"/>
      <c r="AY194" s="1"/>
      <c r="AZ194" s="1"/>
    </row>
    <row r="195" spans="30:52">
      <c r="AD195" s="17" t="s">
        <v>342</v>
      </c>
      <c r="AE195" s="240">
        <v>532443</v>
      </c>
      <c r="AF195" s="242" t="s">
        <v>1046</v>
      </c>
      <c r="AG195" s="240">
        <v>532443</v>
      </c>
      <c r="AM195" s="17"/>
      <c r="AN195" s="240"/>
      <c r="AO195" s="240"/>
      <c r="AP195" s="240"/>
      <c r="AQ195" s="240"/>
      <c r="AR195" s="240"/>
      <c r="AS195" s="240"/>
      <c r="AT195" s="240"/>
      <c r="AU195" s="240"/>
      <c r="AV195" s="240"/>
      <c r="AW195" s="1"/>
      <c r="AX195" s="1"/>
      <c r="AY195" s="1"/>
      <c r="AZ195" s="1"/>
    </row>
    <row r="196" spans="30:52">
      <c r="AD196" s="17" t="s">
        <v>316</v>
      </c>
      <c r="AE196" s="240">
        <v>500331</v>
      </c>
      <c r="AF196" s="242" t="s">
        <v>718</v>
      </c>
      <c r="AG196" s="240">
        <v>500331</v>
      </c>
      <c r="AM196" s="17"/>
      <c r="AN196" s="240"/>
      <c r="AO196" s="240"/>
      <c r="AP196" s="240"/>
      <c r="AQ196" s="240"/>
      <c r="AR196" s="240"/>
      <c r="AS196" s="240"/>
      <c r="AT196" s="240"/>
      <c r="AU196" s="240"/>
      <c r="AV196" s="240"/>
      <c r="AW196" s="1"/>
      <c r="AX196" s="1"/>
      <c r="AY196" s="1"/>
      <c r="AZ196" s="1"/>
    </row>
    <row r="197" spans="30:52">
      <c r="AD197" s="17" t="s">
        <v>315</v>
      </c>
      <c r="AE197" s="240">
        <v>506655</v>
      </c>
      <c r="AF197" s="242" t="s">
        <v>1048</v>
      </c>
      <c r="AG197" s="240">
        <v>506655</v>
      </c>
      <c r="AM197" s="17"/>
      <c r="AN197" s="240"/>
      <c r="AO197" s="240"/>
      <c r="AP197" s="240"/>
      <c r="AQ197" s="240"/>
      <c r="AR197" s="240"/>
      <c r="AS197" s="240"/>
      <c r="AT197" s="240"/>
      <c r="AU197" s="240"/>
      <c r="AV197" s="240"/>
      <c r="AW197" s="1"/>
      <c r="AX197" s="1"/>
      <c r="AY197" s="1"/>
      <c r="AZ197" s="1"/>
    </row>
    <row r="198" spans="30:52">
      <c r="AD198" s="17" t="s">
        <v>314</v>
      </c>
      <c r="AE198" s="240">
        <v>509966</v>
      </c>
      <c r="AF198" s="242" t="s">
        <v>714</v>
      </c>
      <c r="AG198" s="240">
        <v>509966</v>
      </c>
      <c r="AM198" s="17"/>
      <c r="AN198" s="240"/>
      <c r="AO198" s="240"/>
      <c r="AP198" s="240"/>
      <c r="AQ198" s="240"/>
      <c r="AR198" s="240"/>
      <c r="AS198" s="240"/>
      <c r="AT198" s="240"/>
      <c r="AU198" s="240"/>
      <c r="AV198" s="240"/>
      <c r="AW198" s="1"/>
      <c r="AX198" s="1"/>
      <c r="AY198" s="1"/>
      <c r="AZ198" s="1"/>
    </row>
    <row r="199" spans="30:52">
      <c r="AD199" s="17" t="s">
        <v>313</v>
      </c>
      <c r="AE199" s="240">
        <v>534804</v>
      </c>
      <c r="AF199" s="242" t="s">
        <v>712</v>
      </c>
      <c r="AG199" s="240">
        <v>534804</v>
      </c>
      <c r="AM199" s="17"/>
      <c r="AN199" s="240"/>
      <c r="AO199" s="240"/>
      <c r="AP199" s="240"/>
      <c r="AQ199" s="240"/>
      <c r="AR199" s="240"/>
      <c r="AS199" s="240"/>
      <c r="AT199" s="240"/>
      <c r="AU199" s="240"/>
      <c r="AV199" s="240"/>
      <c r="AW199" s="1"/>
      <c r="AX199" s="1"/>
      <c r="AY199" s="1"/>
      <c r="AZ199" s="1"/>
    </row>
    <row r="200" spans="30:52">
      <c r="AD200" s="17" t="s">
        <v>292</v>
      </c>
      <c r="AE200" s="240">
        <v>533260</v>
      </c>
      <c r="AF200" s="242" t="s">
        <v>968</v>
      </c>
      <c r="AG200" s="240">
        <v>533260</v>
      </c>
      <c r="AM200" s="17"/>
      <c r="AN200" s="240"/>
      <c r="AO200" s="240"/>
      <c r="AP200" s="240"/>
      <c r="AQ200" s="240"/>
      <c r="AR200" s="240"/>
      <c r="AS200" s="240"/>
      <c r="AT200" s="240"/>
      <c r="AU200" s="240"/>
      <c r="AV200" s="240"/>
      <c r="AW200" s="1"/>
      <c r="AX200" s="1"/>
      <c r="AY200" s="1"/>
      <c r="AZ200" s="1"/>
    </row>
    <row r="201" spans="30:52">
      <c r="AD201" s="17" t="s">
        <v>271</v>
      </c>
      <c r="AE201" s="240">
        <v>522074</v>
      </c>
      <c r="AF201" s="242" t="s">
        <v>710</v>
      </c>
      <c r="AG201" s="240">
        <v>522074</v>
      </c>
      <c r="AM201" s="17"/>
      <c r="AN201" s="240"/>
      <c r="AO201" s="240"/>
      <c r="AP201" s="240"/>
      <c r="AQ201" s="240"/>
      <c r="AR201" s="240"/>
      <c r="AS201" s="240"/>
      <c r="AT201" s="240"/>
      <c r="AU201" s="240"/>
      <c r="AV201" s="240"/>
      <c r="AW201" s="1"/>
      <c r="AX201" s="1"/>
      <c r="AY201" s="1"/>
      <c r="AZ201" s="1"/>
    </row>
    <row r="202" spans="30:52">
      <c r="AD202" s="17" t="s">
        <v>312</v>
      </c>
      <c r="AE202" s="1">
        <v>500304</v>
      </c>
      <c r="AF202" s="242" t="s">
        <v>705</v>
      </c>
      <c r="AG202" s="1">
        <v>500304</v>
      </c>
      <c r="AM202" s="17"/>
      <c r="AN202" s="240"/>
      <c r="AO202" s="240"/>
      <c r="AP202" s="240"/>
      <c r="AQ202" s="240"/>
      <c r="AR202" s="240"/>
      <c r="AS202" s="240"/>
      <c r="AT202" s="240"/>
      <c r="AU202" s="240"/>
      <c r="AV202" s="240"/>
      <c r="AW202" s="1"/>
      <c r="AX202" s="1"/>
      <c r="AY202" s="1"/>
      <c r="AZ202" s="1"/>
    </row>
    <row r="203" spans="30:52">
      <c r="AD203" s="17" t="s">
        <v>253</v>
      </c>
      <c r="AE203" s="240">
        <v>500179</v>
      </c>
      <c r="AF203" s="242" t="s">
        <v>704</v>
      </c>
      <c r="AG203" s="240">
        <v>500179</v>
      </c>
      <c r="AM203" s="17"/>
      <c r="AN203" s="240"/>
      <c r="AO203" s="240"/>
      <c r="AP203" s="240"/>
      <c r="AQ203" s="240"/>
      <c r="AR203" s="240"/>
      <c r="AS203" s="240"/>
      <c r="AT203" s="240"/>
      <c r="AU203" s="240"/>
      <c r="AV203" s="240"/>
      <c r="AW203" s="1"/>
      <c r="AX203" s="1"/>
      <c r="AY203" s="1"/>
      <c r="AZ203" s="1"/>
    </row>
    <row r="204" spans="30:52">
      <c r="AD204" s="17" t="s">
        <v>291</v>
      </c>
      <c r="AE204" s="240">
        <v>500209</v>
      </c>
      <c r="AF204" s="242" t="s">
        <v>699</v>
      </c>
      <c r="AG204" s="240">
        <v>500209</v>
      </c>
      <c r="AM204" s="17"/>
      <c r="AN204" s="240"/>
      <c r="AO204" s="240"/>
      <c r="AP204" s="240"/>
      <c r="AQ204" s="240"/>
      <c r="AR204" s="240"/>
      <c r="AS204" s="240"/>
      <c r="AT204" s="240"/>
      <c r="AU204" s="240"/>
      <c r="AV204" s="240"/>
      <c r="AW204" s="1"/>
      <c r="AX204" s="1"/>
      <c r="AY204" s="1"/>
      <c r="AZ204" s="1"/>
    </row>
    <row r="205" spans="30:52">
      <c r="AD205" s="17" t="s">
        <v>270</v>
      </c>
      <c r="AE205" s="240">
        <v>532466</v>
      </c>
      <c r="AF205" s="242" t="s">
        <v>684</v>
      </c>
      <c r="AG205" s="240">
        <v>532466</v>
      </c>
      <c r="AM205" s="17"/>
      <c r="AN205" s="240"/>
      <c r="AO205" s="240"/>
      <c r="AP205" s="240"/>
      <c r="AQ205" s="240"/>
      <c r="AR205" s="240"/>
      <c r="AS205" s="240"/>
      <c r="AT205" s="240"/>
      <c r="AU205" s="240"/>
      <c r="AV205" s="240"/>
      <c r="AW205" s="1"/>
      <c r="AX205" s="1"/>
      <c r="AY205" s="1"/>
      <c r="AZ205" s="1"/>
    </row>
    <row r="206" spans="30:52">
      <c r="AD206" s="17" t="s">
        <v>269</v>
      </c>
      <c r="AE206" s="240">
        <v>532258</v>
      </c>
      <c r="AF206" s="242" t="s">
        <v>1053</v>
      </c>
      <c r="AG206" s="240">
        <v>532258</v>
      </c>
      <c r="AM206" s="17"/>
      <c r="AN206" s="240"/>
      <c r="AO206" s="240"/>
      <c r="AP206" s="240"/>
      <c r="AQ206" s="240"/>
      <c r="AR206" s="240"/>
      <c r="AS206" s="240"/>
      <c r="AT206" s="240"/>
      <c r="AU206" s="240"/>
      <c r="AV206" s="240"/>
      <c r="AW206" s="1"/>
      <c r="AX206" s="1"/>
      <c r="AY206" s="1"/>
      <c r="AZ206" s="1"/>
    </row>
    <row r="207" spans="30:52">
      <c r="AD207" s="17" t="s">
        <v>252</v>
      </c>
      <c r="AE207" s="240">
        <v>504067</v>
      </c>
      <c r="AF207" s="242" t="s">
        <v>1055</v>
      </c>
      <c r="AG207" s="240">
        <v>504067</v>
      </c>
      <c r="AM207" s="17"/>
      <c r="AN207" s="240"/>
      <c r="AO207" s="240"/>
      <c r="AP207" s="240"/>
      <c r="AQ207" s="240"/>
      <c r="AR207" s="240"/>
      <c r="AS207" s="240"/>
      <c r="AT207" s="240"/>
      <c r="AU207" s="240"/>
      <c r="AV207" s="240"/>
      <c r="AW207" s="1"/>
      <c r="AX207" s="1"/>
      <c r="AY207" s="1"/>
      <c r="AZ207" s="1"/>
    </row>
    <row r="208" spans="30:52">
      <c r="AD208" s="17" t="s">
        <v>251</v>
      </c>
      <c r="AE208" s="240">
        <v>500408</v>
      </c>
      <c r="AF208" s="242" t="s">
        <v>696</v>
      </c>
      <c r="AG208" s="240">
        <v>500408</v>
      </c>
      <c r="AM208" s="17"/>
      <c r="AN208" s="240"/>
      <c r="AO208" s="240"/>
      <c r="AP208" s="240"/>
      <c r="AQ208" s="240"/>
      <c r="AR208" s="240"/>
      <c r="AS208" s="240"/>
      <c r="AT208" s="240"/>
      <c r="AU208" s="240"/>
      <c r="AV208" s="240"/>
      <c r="AW208" s="1"/>
      <c r="AX208" s="1"/>
      <c r="AY208" s="1"/>
      <c r="AZ208" s="1"/>
    </row>
    <row r="209" spans="30:52">
      <c r="AD209" s="17" t="s">
        <v>268</v>
      </c>
      <c r="AE209" s="240">
        <v>532809</v>
      </c>
      <c r="AF209" s="242" t="s">
        <v>933</v>
      </c>
      <c r="AG209" s="240">
        <v>532809</v>
      </c>
      <c r="AM209" s="17"/>
      <c r="AN209" s="240"/>
      <c r="AO209" s="240"/>
      <c r="AP209" s="240"/>
      <c r="AQ209" s="240"/>
      <c r="AR209" s="240"/>
      <c r="AS209" s="240"/>
      <c r="AT209" s="240"/>
      <c r="AU209" s="240"/>
      <c r="AV209" s="240"/>
      <c r="AW209" s="1"/>
      <c r="AX209" s="1"/>
      <c r="AY209" s="1"/>
      <c r="AZ209" s="1"/>
    </row>
    <row r="210" spans="30:52">
      <c r="AD210" s="17" t="s">
        <v>290</v>
      </c>
      <c r="AE210" s="240">
        <v>532532</v>
      </c>
      <c r="AF210" s="242" t="s">
        <v>673</v>
      </c>
      <c r="AG210" s="240">
        <v>532532</v>
      </c>
      <c r="AM210" s="17"/>
      <c r="AN210" s="240"/>
      <c r="AO210" s="240"/>
      <c r="AP210" s="240"/>
      <c r="AQ210" s="240"/>
      <c r="AR210" s="240"/>
      <c r="AS210" s="240"/>
      <c r="AT210" s="240"/>
      <c r="AU210" s="240"/>
      <c r="AV210" s="240"/>
      <c r="AW210" s="1"/>
      <c r="AX210" s="1"/>
      <c r="AY210" s="1"/>
      <c r="AZ210" s="1"/>
    </row>
    <row r="211" spans="30:52">
      <c r="AD211" s="17" t="s">
        <v>250</v>
      </c>
      <c r="AE211" s="240">
        <v>500294</v>
      </c>
      <c r="AF211" s="242" t="s">
        <v>680</v>
      </c>
      <c r="AG211" s="240">
        <v>500294</v>
      </c>
      <c r="AM211" s="17"/>
      <c r="AN211" s="240"/>
      <c r="AO211" s="240"/>
      <c r="AP211" s="240"/>
      <c r="AQ211" s="240"/>
      <c r="AR211" s="240"/>
      <c r="AS211" s="240"/>
      <c r="AT211" s="240"/>
      <c r="AU211" s="240"/>
      <c r="AV211" s="240"/>
      <c r="AW211" s="1"/>
      <c r="AX211" s="1"/>
      <c r="AY211" s="1"/>
      <c r="AZ211" s="1"/>
    </row>
    <row r="212" spans="30:52">
      <c r="AD212" s="17" t="s">
        <v>289</v>
      </c>
      <c r="AE212" s="240">
        <v>532178</v>
      </c>
      <c r="AF212" s="242" t="s">
        <v>623</v>
      </c>
      <c r="AG212" s="240">
        <v>532178</v>
      </c>
      <c r="AM212" s="17"/>
      <c r="AN212" s="240"/>
      <c r="AO212" s="240"/>
      <c r="AP212" s="240"/>
      <c r="AQ212" s="240"/>
      <c r="AR212" s="240"/>
      <c r="AS212" s="240"/>
      <c r="AT212" s="240"/>
      <c r="AU212" s="240"/>
      <c r="AV212" s="240"/>
      <c r="AW212" s="1"/>
      <c r="AX212" s="1"/>
      <c r="AY212" s="1"/>
      <c r="AZ212" s="1"/>
    </row>
    <row r="213" spans="30:52">
      <c r="AD213" s="17" t="s">
        <v>311</v>
      </c>
      <c r="AE213" s="240">
        <v>532708</v>
      </c>
      <c r="AF213" s="242" t="s">
        <v>621</v>
      </c>
      <c r="AG213" s="240">
        <v>532708</v>
      </c>
      <c r="AM213" s="17"/>
      <c r="AN213" s="240"/>
      <c r="AO213" s="240"/>
      <c r="AP213" s="240"/>
      <c r="AQ213" s="240"/>
      <c r="AR213" s="240"/>
      <c r="AS213" s="240"/>
      <c r="AT213" s="240"/>
      <c r="AU213" s="240"/>
      <c r="AV213" s="240"/>
      <c r="AW213" s="1"/>
      <c r="AX213" s="1"/>
      <c r="AY213" s="1"/>
      <c r="AZ213" s="1"/>
    </row>
    <row r="214" spans="30:52">
      <c r="AD214" s="17" t="s">
        <v>630</v>
      </c>
      <c r="AE214" s="240">
        <v>533150</v>
      </c>
      <c r="AF214" s="242" t="s">
        <v>660</v>
      </c>
      <c r="AG214" s="240">
        <v>533150</v>
      </c>
      <c r="AM214" s="17"/>
      <c r="AN214" s="240"/>
      <c r="AO214" s="240"/>
      <c r="AP214" s="240"/>
      <c r="AQ214" s="240"/>
      <c r="AR214" s="240"/>
      <c r="AS214" s="240"/>
      <c r="AT214" s="240"/>
      <c r="AU214" s="240"/>
      <c r="AV214" s="240"/>
      <c r="AW214" s="1"/>
      <c r="AX214" s="1"/>
      <c r="AY214" s="1"/>
      <c r="AZ214" s="1"/>
    </row>
    <row r="215" spans="30:52">
      <c r="AD215" s="17" t="s">
        <v>288</v>
      </c>
      <c r="AE215" s="240">
        <v>533160</v>
      </c>
      <c r="AF215" s="242" t="s">
        <v>668</v>
      </c>
      <c r="AG215" s="240">
        <v>533160</v>
      </c>
      <c r="AM215" s="17"/>
      <c r="AN215" s="240"/>
      <c r="AO215" s="240"/>
      <c r="AP215" s="240"/>
      <c r="AQ215" s="240"/>
      <c r="AR215" s="240"/>
      <c r="AS215" s="240"/>
      <c r="AT215" s="240"/>
      <c r="AU215" s="240"/>
      <c r="AV215" s="240"/>
      <c r="AW215" s="1"/>
      <c r="AX215" s="1"/>
      <c r="AY215" s="1"/>
      <c r="AZ215" s="1"/>
    </row>
    <row r="216" spans="30:52">
      <c r="AD216" s="17" t="s">
        <v>245</v>
      </c>
      <c r="AE216" s="240">
        <v>533274</v>
      </c>
      <c r="AF216" s="242" t="s">
        <v>657</v>
      </c>
      <c r="AG216" s="240">
        <v>533274</v>
      </c>
      <c r="AM216" s="17"/>
      <c r="AN216" s="240"/>
      <c r="AO216" s="240"/>
      <c r="AP216" s="240"/>
      <c r="AQ216" s="240"/>
      <c r="AR216" s="240"/>
      <c r="AS216" s="240"/>
      <c r="AT216" s="240"/>
      <c r="AU216" s="240"/>
      <c r="AV216" s="240"/>
      <c r="AW216" s="1"/>
      <c r="AX216" s="1"/>
      <c r="AY216" s="1"/>
      <c r="AZ216" s="1"/>
    </row>
    <row r="217" spans="30:52">
      <c r="AD217" s="17" t="s">
        <v>310</v>
      </c>
      <c r="AE217" s="240">
        <v>532784</v>
      </c>
      <c r="AF217" s="242" t="s">
        <v>659</v>
      </c>
      <c r="AG217" s="240">
        <v>532784</v>
      </c>
      <c r="AM217" s="17"/>
      <c r="AN217" s="240"/>
      <c r="AO217" s="240"/>
      <c r="AP217" s="240"/>
      <c r="AQ217" s="240"/>
      <c r="AR217" s="240"/>
      <c r="AS217" s="240"/>
      <c r="AT217" s="240"/>
      <c r="AU217" s="240"/>
      <c r="AV217" s="240"/>
      <c r="AW217" s="1"/>
      <c r="AX217" s="1"/>
      <c r="AY217" s="1"/>
      <c r="AZ217" s="1"/>
    </row>
    <row r="218" spans="30:52">
      <c r="AD218" s="17" t="s">
        <v>249</v>
      </c>
      <c r="AE218" s="240">
        <v>508486</v>
      </c>
      <c r="AF218" s="242" t="s">
        <v>1077</v>
      </c>
      <c r="AG218" s="240">
        <v>508486</v>
      </c>
      <c r="AM218" s="17"/>
      <c r="AN218" s="240"/>
      <c r="AO218" s="240"/>
      <c r="AP218" s="240"/>
      <c r="AQ218" s="240"/>
      <c r="AR218" s="240"/>
      <c r="AS218" s="240"/>
      <c r="AT218" s="240"/>
      <c r="AU218" s="240"/>
      <c r="AV218" s="240"/>
      <c r="AW218" s="1"/>
      <c r="AX218" s="1"/>
      <c r="AY218" s="1"/>
      <c r="AZ218" s="1"/>
    </row>
    <row r="219" spans="30:52">
      <c r="AD219" s="17" t="s">
        <v>341</v>
      </c>
      <c r="AE219" s="240">
        <v>517385</v>
      </c>
      <c r="AF219" s="242" t="s">
        <v>648</v>
      </c>
      <c r="AG219" s="240">
        <v>517385</v>
      </c>
      <c r="AM219" s="17"/>
      <c r="AN219" s="240"/>
      <c r="AO219" s="240"/>
      <c r="AP219" s="240"/>
      <c r="AQ219" s="240"/>
      <c r="AR219" s="240"/>
      <c r="AS219" s="240"/>
      <c r="AT219" s="240"/>
      <c r="AU219" s="240"/>
      <c r="AV219" s="240"/>
      <c r="AW219" s="1"/>
      <c r="AX219" s="1"/>
      <c r="AY219" s="1"/>
      <c r="AZ219" s="1"/>
    </row>
    <row r="220" spans="30:52">
      <c r="AD220" s="17" t="s">
        <v>244</v>
      </c>
      <c r="AE220" s="240">
        <v>523398</v>
      </c>
      <c r="AF220" s="242" t="s">
        <v>1079</v>
      </c>
      <c r="AG220" s="240">
        <v>523398</v>
      </c>
      <c r="AM220" s="17"/>
      <c r="AN220" s="240"/>
      <c r="AO220" s="240"/>
      <c r="AP220" s="240"/>
      <c r="AQ220" s="240"/>
      <c r="AR220" s="240"/>
      <c r="AS220" s="240"/>
      <c r="AT220" s="240"/>
      <c r="AU220" s="240"/>
      <c r="AV220" s="240"/>
      <c r="AW220" s="1"/>
      <c r="AX220" s="1"/>
      <c r="AY220" s="1"/>
      <c r="AZ220" s="1"/>
    </row>
    <row r="221" spans="30:52">
      <c r="AD221" s="17" t="s">
        <v>340</v>
      </c>
      <c r="AE221" s="240">
        <v>500550</v>
      </c>
      <c r="AF221" s="242" t="s">
        <v>633</v>
      </c>
      <c r="AG221" s="240">
        <v>500550</v>
      </c>
      <c r="AM221" s="17"/>
      <c r="AN221" s="240"/>
      <c r="AO221" s="240"/>
      <c r="AP221" s="240"/>
      <c r="AQ221" s="240"/>
      <c r="AR221" s="240"/>
      <c r="AS221" s="240"/>
      <c r="AT221" s="240"/>
      <c r="AU221" s="240"/>
      <c r="AV221" s="240"/>
      <c r="AW221" s="1"/>
      <c r="AX221" s="1"/>
      <c r="AY221" s="1"/>
      <c r="AZ221" s="1"/>
    </row>
    <row r="222" spans="30:52">
      <c r="AD222" s="17" t="s">
        <v>598</v>
      </c>
      <c r="AE222" s="240">
        <v>534139</v>
      </c>
      <c r="AF222" s="242" t="s">
        <v>642</v>
      </c>
      <c r="AG222" s="240">
        <v>534139</v>
      </c>
      <c r="AM222" s="17"/>
      <c r="AN222" s="240"/>
      <c r="AO222" s="240"/>
      <c r="AP222" s="240"/>
      <c r="AQ222" s="240"/>
      <c r="AR222" s="240"/>
      <c r="AS222" s="240"/>
      <c r="AT222" s="240"/>
      <c r="AU222" s="240"/>
      <c r="AV222" s="240"/>
      <c r="AW222" s="1"/>
      <c r="AX222" s="1"/>
      <c r="AY222" s="1"/>
      <c r="AZ222" s="1"/>
    </row>
    <row r="223" spans="30:52">
      <c r="AD223" s="17" t="s">
        <v>243</v>
      </c>
      <c r="AE223" s="240">
        <v>517354</v>
      </c>
      <c r="AF223" s="242" t="s">
        <v>635</v>
      </c>
      <c r="AG223" s="240">
        <v>517354</v>
      </c>
      <c r="AM223" s="17"/>
      <c r="AN223" s="240"/>
      <c r="AO223" s="240"/>
      <c r="AP223" s="1"/>
      <c r="AQ223" s="1"/>
      <c r="AR223" s="1"/>
      <c r="AS223" s="1"/>
      <c r="AT223" s="1"/>
      <c r="AU223" s="1"/>
      <c r="AV223" s="1"/>
      <c r="AW223" s="1"/>
      <c r="AX223" s="1"/>
      <c r="AY223" s="1"/>
      <c r="AZ223" s="1"/>
    </row>
    <row r="224" spans="30:52">
      <c r="AD224" s="17" t="s">
        <v>248</v>
      </c>
      <c r="AE224" s="240">
        <v>533269</v>
      </c>
      <c r="AF224" s="242" t="s">
        <v>643</v>
      </c>
      <c r="AG224" s="240">
        <v>533269</v>
      </c>
    </row>
    <row r="225" spans="30:33">
      <c r="AD225" s="17" t="s">
        <v>267</v>
      </c>
      <c r="AE225" s="240">
        <v>533033</v>
      </c>
      <c r="AF225" s="242" t="s">
        <v>1082</v>
      </c>
      <c r="AG225" s="240">
        <v>533033</v>
      </c>
    </row>
    <row r="226" spans="30:33">
      <c r="AD226" s="17" t="s">
        <v>287</v>
      </c>
      <c r="AE226" s="240">
        <v>522287</v>
      </c>
      <c r="AF226" s="242" t="s">
        <v>371</v>
      </c>
      <c r="AG226" s="240">
        <v>522287</v>
      </c>
    </row>
    <row r="227" spans="30:33">
      <c r="AD227" s="17" t="s">
        <v>266</v>
      </c>
      <c r="AE227" s="240">
        <v>509631</v>
      </c>
      <c r="AF227" s="242" t="s">
        <v>1084</v>
      </c>
      <c r="AG227" s="240">
        <v>509631</v>
      </c>
    </row>
    <row r="228" spans="30:33">
      <c r="AD228" s="17" t="s">
        <v>242</v>
      </c>
      <c r="AE228" s="1">
        <v>500249</v>
      </c>
      <c r="AF228" s="242" t="s">
        <v>941</v>
      </c>
      <c r="AG228" s="1">
        <v>500249</v>
      </c>
    </row>
    <row r="229" spans="30:33">
      <c r="AD229" s="17" t="s">
        <v>339</v>
      </c>
      <c r="AE229" s="240">
        <v>532156</v>
      </c>
      <c r="AF229" s="242" t="s">
        <v>1089</v>
      </c>
      <c r="AG229" s="240">
        <v>532156</v>
      </c>
    </row>
    <row r="230" spans="30:33">
      <c r="AD230" s="17" t="s">
        <v>338</v>
      </c>
      <c r="AE230" s="240">
        <v>532706</v>
      </c>
      <c r="AF230" s="242" t="s">
        <v>944</v>
      </c>
      <c r="AG230" s="240">
        <v>532706</v>
      </c>
    </row>
    <row r="231" spans="30:33">
      <c r="AD231" s="17" t="s">
        <v>265</v>
      </c>
      <c r="AE231" s="240">
        <v>533293</v>
      </c>
      <c r="AF231" s="242" t="s">
        <v>617</v>
      </c>
      <c r="AG231" s="240">
        <v>533293</v>
      </c>
    </row>
    <row r="232" spans="30:33">
      <c r="AD232" s="17" t="s">
        <v>337</v>
      </c>
      <c r="AE232" s="240">
        <v>532733</v>
      </c>
      <c r="AF232" s="242" t="s">
        <v>600</v>
      </c>
      <c r="AG232" s="240">
        <v>532733</v>
      </c>
    </row>
    <row r="233" spans="30:33">
      <c r="AD233" s="17" t="s">
        <v>285</v>
      </c>
      <c r="AE233" s="240">
        <v>532839</v>
      </c>
      <c r="AF233" s="242" t="s">
        <v>601</v>
      </c>
      <c r="AG233" s="240">
        <v>532839</v>
      </c>
    </row>
    <row r="234" spans="30:33">
      <c r="AD234" s="17" t="s">
        <v>539</v>
      </c>
      <c r="AE234" s="240">
        <v>532662</v>
      </c>
      <c r="AF234" s="242" t="s">
        <v>430</v>
      </c>
      <c r="AG234" s="240">
        <v>532662</v>
      </c>
    </row>
    <row r="235" spans="30:33">
      <c r="AD235" s="17" t="s">
        <v>336</v>
      </c>
      <c r="AE235" s="240">
        <v>506395</v>
      </c>
      <c r="AF235" s="242" t="s">
        <v>590</v>
      </c>
      <c r="AG235" s="240">
        <v>506395</v>
      </c>
    </row>
    <row r="236" spans="30:33">
      <c r="AD236" s="17" t="s">
        <v>284</v>
      </c>
      <c r="AE236" s="240">
        <v>590024</v>
      </c>
      <c r="AF236" s="242" t="s">
        <v>1096</v>
      </c>
      <c r="AG236" s="240">
        <v>590024</v>
      </c>
    </row>
    <row r="237" spans="30:33">
      <c r="AD237" s="17" t="s">
        <v>531</v>
      </c>
      <c r="AE237" s="240">
        <v>590071</v>
      </c>
      <c r="AF237" s="242" t="s">
        <v>976</v>
      </c>
      <c r="AG237" s="240">
        <v>590071</v>
      </c>
    </row>
    <row r="238" spans="30:33">
      <c r="AD238" s="17" t="s">
        <v>335</v>
      </c>
      <c r="AE238" s="240">
        <v>523756</v>
      </c>
      <c r="AF238" s="242" t="s">
        <v>589</v>
      </c>
      <c r="AG238" s="240">
        <v>523756</v>
      </c>
    </row>
    <row r="239" spans="30:33">
      <c r="AD239" s="17" t="s">
        <v>527</v>
      </c>
      <c r="AE239" s="240">
        <v>501154</v>
      </c>
      <c r="AF239" s="242" t="s">
        <v>586</v>
      </c>
      <c r="AG239" s="240">
        <v>501154</v>
      </c>
    </row>
    <row r="240" spans="30:33">
      <c r="AD240" s="17" t="s">
        <v>333</v>
      </c>
      <c r="AE240" s="240">
        <v>511072</v>
      </c>
      <c r="AF240" s="242" t="s">
        <v>578</v>
      </c>
      <c r="AG240" s="240">
        <v>511072</v>
      </c>
    </row>
    <row r="241" spans="30:33">
      <c r="AD241" s="17" t="s">
        <v>309</v>
      </c>
      <c r="AE241" s="240">
        <v>532955</v>
      </c>
      <c r="AF241" s="242" t="s">
        <v>556</v>
      </c>
      <c r="AG241" s="240">
        <v>532955</v>
      </c>
    </row>
    <row r="242" spans="30:33">
      <c r="AD242" s="17" t="s">
        <v>332</v>
      </c>
      <c r="AE242" s="240">
        <v>532915</v>
      </c>
      <c r="AF242" s="242" t="s">
        <v>565</v>
      </c>
      <c r="AG242" s="240">
        <v>532915</v>
      </c>
    </row>
    <row r="243" spans="30:33">
      <c r="AD243" s="17" t="s">
        <v>331</v>
      </c>
      <c r="AE243" s="240">
        <v>503663</v>
      </c>
      <c r="AF243" s="242" t="s">
        <v>1108</v>
      </c>
      <c r="AG243" s="240">
        <v>503663</v>
      </c>
    </row>
    <row r="244" spans="30:33">
      <c r="AD244" s="17" t="s">
        <v>308</v>
      </c>
      <c r="AE244" s="240">
        <v>537800</v>
      </c>
      <c r="AF244" s="242" t="s">
        <v>1112</v>
      </c>
      <c r="AG244" s="240">
        <v>537800</v>
      </c>
    </row>
    <row r="245" spans="30:33">
      <c r="AD245" s="17" t="s">
        <v>282</v>
      </c>
      <c r="AE245" s="240">
        <v>500135</v>
      </c>
      <c r="AF245" s="242" t="s">
        <v>1120</v>
      </c>
      <c r="AG245" s="240">
        <v>500135</v>
      </c>
    </row>
    <row r="246" spans="30:33">
      <c r="AD246" s="17" t="s">
        <v>504</v>
      </c>
      <c r="AE246" s="240">
        <v>500676</v>
      </c>
      <c r="AF246" s="242" t="s">
        <v>553</v>
      </c>
      <c r="AG246" s="240">
        <v>500676</v>
      </c>
    </row>
    <row r="247" spans="30:33">
      <c r="AD247" s="17" t="s">
        <v>281</v>
      </c>
      <c r="AE247" s="240">
        <v>531531</v>
      </c>
      <c r="AF247" s="242" t="s">
        <v>1126</v>
      </c>
      <c r="AG247" s="240">
        <v>531531</v>
      </c>
    </row>
    <row r="248" spans="30:33">
      <c r="AD248" s="17" t="s">
        <v>264</v>
      </c>
      <c r="AE248" s="240">
        <v>532106</v>
      </c>
      <c r="AF248" s="242" t="s">
        <v>550</v>
      </c>
      <c r="AG248" s="240">
        <v>532106</v>
      </c>
    </row>
    <row r="249" spans="30:33">
      <c r="AD249" s="17" t="s">
        <v>280</v>
      </c>
      <c r="AE249" s="240">
        <v>500368</v>
      </c>
      <c r="AF249" s="242" t="s">
        <v>413</v>
      </c>
      <c r="AG249" s="240">
        <v>500368</v>
      </c>
    </row>
    <row r="250" spans="30:33">
      <c r="AD250" s="17" t="s">
        <v>261</v>
      </c>
      <c r="AE250" s="240">
        <v>532522</v>
      </c>
      <c r="AF250" s="242" t="s">
        <v>546</v>
      </c>
      <c r="AG250" s="240">
        <v>532522</v>
      </c>
    </row>
    <row r="251" spans="30:33">
      <c r="AD251" s="17" t="s">
        <v>239</v>
      </c>
      <c r="AE251" s="241">
        <v>532514</v>
      </c>
      <c r="AF251" s="242" t="s">
        <v>541</v>
      </c>
      <c r="AG251" s="241">
        <v>532514</v>
      </c>
    </row>
    <row r="252" spans="30:33">
      <c r="AD252" s="17" t="s">
        <v>237</v>
      </c>
      <c r="AE252" s="240">
        <v>523457</v>
      </c>
      <c r="AF252" s="242" t="s">
        <v>544</v>
      </c>
      <c r="AG252" s="240">
        <v>523457</v>
      </c>
    </row>
    <row r="253" spans="30:33">
      <c r="AD253" s="17" t="s">
        <v>260</v>
      </c>
      <c r="AE253" s="240">
        <v>500840</v>
      </c>
      <c r="AF253" s="242" t="s">
        <v>534</v>
      </c>
      <c r="AG253" s="240">
        <v>500840</v>
      </c>
    </row>
    <row r="254" spans="30:33">
      <c r="AD254" s="17" t="s">
        <v>279</v>
      </c>
      <c r="AE254" s="240">
        <v>523363</v>
      </c>
      <c r="AF254" s="242" t="s">
        <v>1139</v>
      </c>
      <c r="AG254" s="240">
        <v>523363</v>
      </c>
    </row>
    <row r="255" spans="30:33">
      <c r="AD255" s="17" t="s">
        <v>307</v>
      </c>
      <c r="AE255" s="240">
        <v>526947</v>
      </c>
      <c r="AF255" s="242" t="s">
        <v>1141</v>
      </c>
      <c r="AG255" s="240">
        <v>526947</v>
      </c>
    </row>
    <row r="256" spans="30:33">
      <c r="AD256" s="17" t="s">
        <v>278</v>
      </c>
      <c r="AE256" s="240">
        <v>532843</v>
      </c>
      <c r="AF256" s="242" t="s">
        <v>537</v>
      </c>
      <c r="AG256" s="240">
        <v>532843</v>
      </c>
    </row>
    <row r="257" spans="30:33">
      <c r="AD257" s="17" t="s">
        <v>306</v>
      </c>
      <c r="AE257" s="240">
        <v>532391</v>
      </c>
      <c r="AF257" s="242" t="s">
        <v>528</v>
      </c>
      <c r="AG257" s="240">
        <v>532391</v>
      </c>
    </row>
    <row r="258" spans="30:33">
      <c r="AD258" s="17" t="s">
        <v>241</v>
      </c>
      <c r="AE258" s="240">
        <v>590005</v>
      </c>
      <c r="AF258" s="242" t="s">
        <v>1146</v>
      </c>
      <c r="AG258" s="240">
        <v>590005</v>
      </c>
    </row>
    <row r="259" spans="30:33">
      <c r="AD259" s="17" t="s">
        <v>304</v>
      </c>
      <c r="AE259" s="240">
        <v>504966</v>
      </c>
      <c r="AF259" s="242" t="s">
        <v>1148</v>
      </c>
      <c r="AG259" s="240">
        <v>504966</v>
      </c>
    </row>
    <row r="260" spans="30:33">
      <c r="AD260" s="17" t="s">
        <v>277</v>
      </c>
      <c r="AE260" s="240">
        <v>500295</v>
      </c>
      <c r="AF260" s="242" t="s">
        <v>521</v>
      </c>
      <c r="AG260" s="240">
        <v>500295</v>
      </c>
    </row>
    <row r="261" spans="30:33">
      <c r="AD261" s="17" t="s">
        <v>330</v>
      </c>
      <c r="AE261" s="240">
        <v>532181</v>
      </c>
      <c r="AF261" s="242" t="s">
        <v>524</v>
      </c>
      <c r="AG261" s="240">
        <v>532181</v>
      </c>
    </row>
    <row r="262" spans="30:33">
      <c r="AD262" s="17" t="s">
        <v>276</v>
      </c>
      <c r="AE262" s="240">
        <v>500184</v>
      </c>
      <c r="AF262" s="242" t="s">
        <v>1151</v>
      </c>
      <c r="AG262" s="240">
        <v>500184</v>
      </c>
    </row>
    <row r="263" spans="30:33">
      <c r="AD263" s="17" t="s">
        <v>414</v>
      </c>
      <c r="AE263" s="242">
        <v>533282</v>
      </c>
      <c r="AF263" s="242" t="s">
        <v>519</v>
      </c>
      <c r="AG263" s="242">
        <v>533282</v>
      </c>
    </row>
    <row r="264" spans="30:33">
      <c r="AD264" s="17" t="s">
        <v>262</v>
      </c>
      <c r="AE264" s="240">
        <v>500165</v>
      </c>
      <c r="AF264" s="242" t="s">
        <v>511</v>
      </c>
      <c r="AG264" s="240">
        <v>500165</v>
      </c>
    </row>
    <row r="265" spans="30:33">
      <c r="AD265" s="17" t="s">
        <v>302</v>
      </c>
      <c r="AE265" s="240">
        <v>533106</v>
      </c>
      <c r="AF265" s="242" t="s">
        <v>515</v>
      </c>
      <c r="AG265" s="240">
        <v>533106</v>
      </c>
    </row>
    <row r="266" spans="30:33">
      <c r="AD266" s="17" t="s">
        <v>275</v>
      </c>
      <c r="AE266" s="240">
        <v>530075</v>
      </c>
      <c r="AF266" s="242" t="s">
        <v>1159</v>
      </c>
      <c r="AG266" s="240">
        <v>530075</v>
      </c>
    </row>
    <row r="267" spans="30:33">
      <c r="AD267" s="17" t="s">
        <v>301</v>
      </c>
      <c r="AE267" s="240">
        <v>502330</v>
      </c>
      <c r="AF267" s="242" t="s">
        <v>1161</v>
      </c>
      <c r="AG267" s="240">
        <v>502330</v>
      </c>
    </row>
    <row r="268" spans="30:33">
      <c r="AD268" s="17" t="s">
        <v>300</v>
      </c>
      <c r="AE268" s="240">
        <v>532424</v>
      </c>
      <c r="AF268" s="242" t="s">
        <v>500</v>
      </c>
      <c r="AG268" s="240">
        <v>532424</v>
      </c>
    </row>
    <row r="269" spans="30:33">
      <c r="AD269" s="17" t="s">
        <v>329</v>
      </c>
      <c r="AE269" s="240">
        <v>531162</v>
      </c>
      <c r="AF269" s="242" t="s">
        <v>495</v>
      </c>
      <c r="AG269" s="240">
        <v>531162</v>
      </c>
    </row>
    <row r="270" spans="30:33">
      <c r="AD270" s="17" t="s">
        <v>380</v>
      </c>
      <c r="AE270" s="240">
        <v>506285</v>
      </c>
      <c r="AF270" s="242" t="s">
        <v>491</v>
      </c>
      <c r="AG270" s="240">
        <v>506285</v>
      </c>
    </row>
    <row r="271" spans="30:33">
      <c r="AD271" s="17" t="s">
        <v>299</v>
      </c>
      <c r="AE271" s="240">
        <v>500355</v>
      </c>
      <c r="AF271" s="242" t="s">
        <v>492</v>
      </c>
      <c r="AG271" s="240">
        <v>500355</v>
      </c>
    </row>
    <row r="272" spans="30:33">
      <c r="AD272" s="17" t="s">
        <v>273</v>
      </c>
      <c r="AE272" s="240">
        <v>500257</v>
      </c>
      <c r="AF272" s="242" t="s">
        <v>460</v>
      </c>
      <c r="AG272" s="240">
        <v>500257</v>
      </c>
    </row>
    <row r="273" spans="30:33">
      <c r="AD273" s="17" t="s">
        <v>328</v>
      </c>
      <c r="AE273" s="240">
        <v>524804</v>
      </c>
      <c r="AF273" s="242" t="s">
        <v>470</v>
      </c>
      <c r="AG273" s="240">
        <v>524804</v>
      </c>
    </row>
    <row r="274" spans="30:33">
      <c r="AD274" s="17" t="s">
        <v>327</v>
      </c>
      <c r="AE274" s="240">
        <v>500302</v>
      </c>
      <c r="AF274" s="242" t="s">
        <v>467</v>
      </c>
      <c r="AG274" s="240">
        <v>500302</v>
      </c>
    </row>
    <row r="275" spans="30:33">
      <c r="AD275" s="17" t="s">
        <v>367</v>
      </c>
      <c r="AE275" s="240">
        <v>500488</v>
      </c>
      <c r="AF275" s="242" t="s">
        <v>476</v>
      </c>
      <c r="AG275" s="240">
        <v>500488</v>
      </c>
    </row>
    <row r="276" spans="30:33">
      <c r="AD276" s="17" t="s">
        <v>365</v>
      </c>
      <c r="AE276" s="240">
        <v>531599</v>
      </c>
      <c r="AF276" s="242" t="s">
        <v>481</v>
      </c>
      <c r="AG276" s="240">
        <v>531599</v>
      </c>
    </row>
    <row r="277" spans="30:33">
      <c r="AD277" s="17" t="s">
        <v>326</v>
      </c>
      <c r="AE277" s="240">
        <v>532482</v>
      </c>
      <c r="AF277" s="242" t="s">
        <v>1170</v>
      </c>
      <c r="AG277" s="240">
        <v>532482</v>
      </c>
    </row>
    <row r="278" spans="30:33">
      <c r="AD278" s="17" t="s">
        <v>246</v>
      </c>
      <c r="AE278" s="240">
        <v>506803</v>
      </c>
      <c r="AF278" s="242" t="s">
        <v>1174</v>
      </c>
      <c r="AG278" s="240">
        <v>506803</v>
      </c>
    </row>
    <row r="279" spans="30:33">
      <c r="AD279" s="17" t="s">
        <v>325</v>
      </c>
      <c r="AE279" s="240">
        <v>532830</v>
      </c>
      <c r="AF279" s="242" t="s">
        <v>965</v>
      </c>
      <c r="AG279" s="240">
        <v>532830</v>
      </c>
    </row>
    <row r="280" spans="30:33">
      <c r="AD280" s="17" t="s">
        <v>298</v>
      </c>
      <c r="AE280" s="240">
        <v>522249</v>
      </c>
      <c r="AF280" s="242" t="s">
        <v>1177</v>
      </c>
      <c r="AG280" s="240">
        <v>522249</v>
      </c>
    </row>
    <row r="281" spans="30:33">
      <c r="AD281" s="17" t="s">
        <v>297</v>
      </c>
      <c r="AE281" s="240">
        <v>532898</v>
      </c>
      <c r="AF281" s="242" t="s">
        <v>445</v>
      </c>
      <c r="AG281" s="240">
        <v>532898</v>
      </c>
    </row>
    <row r="282" spans="30:33">
      <c r="AD282" s="17" t="s">
        <v>324</v>
      </c>
      <c r="AE282" s="240">
        <v>533098</v>
      </c>
      <c r="AF282" s="242" t="s">
        <v>446</v>
      </c>
      <c r="AG282" s="240">
        <v>533098</v>
      </c>
    </row>
    <row r="283" spans="30:33">
      <c r="AD283" s="17" t="s">
        <v>920</v>
      </c>
      <c r="AE283" s="242">
        <v>513683</v>
      </c>
      <c r="AF283" s="242" t="s">
        <v>438</v>
      </c>
      <c r="AG283" s="242">
        <v>513683</v>
      </c>
    </row>
    <row r="284" spans="30:33">
      <c r="AD284" s="17" t="s">
        <v>922</v>
      </c>
      <c r="AE284" s="242">
        <v>532779</v>
      </c>
      <c r="AF284" s="242" t="s">
        <v>443</v>
      </c>
      <c r="AG284" s="242">
        <v>532779</v>
      </c>
    </row>
    <row r="285" spans="30:33">
      <c r="AD285" s="17" t="s">
        <v>923</v>
      </c>
      <c r="AE285" s="242">
        <v>532778</v>
      </c>
      <c r="AF285" s="242" t="s">
        <v>434</v>
      </c>
      <c r="AG285" s="242">
        <v>532778</v>
      </c>
    </row>
    <row r="286" spans="30:33">
      <c r="AD286" s="17" t="s">
        <v>925</v>
      </c>
      <c r="AE286" s="242">
        <v>500620</v>
      </c>
      <c r="AF286" s="242" t="s">
        <v>416</v>
      </c>
      <c r="AG286" s="242">
        <v>500620</v>
      </c>
    </row>
    <row r="287" spans="30:33">
      <c r="AD287" s="17" t="s">
        <v>926</v>
      </c>
      <c r="AE287" s="242">
        <v>533107</v>
      </c>
      <c r="AF287" s="242" t="s">
        <v>417</v>
      </c>
      <c r="AG287" s="242">
        <v>533107</v>
      </c>
    </row>
    <row r="288" spans="30:33">
      <c r="AD288" s="17" t="s">
        <v>930</v>
      </c>
      <c r="AE288" s="242">
        <v>533704</v>
      </c>
      <c r="AF288" s="242" t="s">
        <v>1181</v>
      </c>
      <c r="AG288" s="242">
        <v>533704</v>
      </c>
    </row>
    <row r="289" spans="30:33">
      <c r="AD289" s="17" t="s">
        <v>948</v>
      </c>
      <c r="AE289" s="242">
        <v>530965</v>
      </c>
      <c r="AF289" s="242" t="s">
        <v>427</v>
      </c>
      <c r="AG289" s="242">
        <v>530965</v>
      </c>
    </row>
    <row r="290" spans="30:33">
      <c r="AD290" s="17" t="s">
        <v>949</v>
      </c>
      <c r="AE290" s="242">
        <v>500134</v>
      </c>
      <c r="AF290" s="242" t="s">
        <v>422</v>
      </c>
      <c r="AG290" s="242">
        <v>500134</v>
      </c>
    </row>
    <row r="291" spans="30:33">
      <c r="AD291" s="17" t="s">
        <v>950</v>
      </c>
      <c r="AE291" s="242">
        <v>532440</v>
      </c>
      <c r="AF291" s="242" t="s">
        <v>1183</v>
      </c>
      <c r="AG291" s="242">
        <v>532440</v>
      </c>
    </row>
    <row r="292" spans="30:33">
      <c r="AD292" s="17" t="s">
        <v>951</v>
      </c>
      <c r="AE292" s="242">
        <v>532638</v>
      </c>
      <c r="AF292" s="242" t="s">
        <v>421</v>
      </c>
      <c r="AG292" s="242">
        <v>532638</v>
      </c>
    </row>
    <row r="293" spans="30:33">
      <c r="AD293" s="17" t="s">
        <v>952</v>
      </c>
      <c r="AE293" s="242">
        <v>500113</v>
      </c>
      <c r="AF293" s="242" t="s">
        <v>408</v>
      </c>
      <c r="AG293" s="242">
        <v>500113</v>
      </c>
    </row>
    <row r="294" spans="30:33">
      <c r="AD294" s="17" t="s">
        <v>953</v>
      </c>
      <c r="AE294" s="242">
        <v>500055</v>
      </c>
      <c r="AF294" s="242" t="s">
        <v>411</v>
      </c>
      <c r="AG294" s="242">
        <v>500055</v>
      </c>
    </row>
    <row r="295" spans="30:33">
      <c r="AD295" s="17" t="s">
        <v>954</v>
      </c>
      <c r="AE295" s="242">
        <v>533264</v>
      </c>
      <c r="AF295" s="242" t="s">
        <v>402</v>
      </c>
      <c r="AG295" s="242">
        <v>533264</v>
      </c>
    </row>
    <row r="296" spans="30:33">
      <c r="AD296" s="17" t="s">
        <v>955</v>
      </c>
      <c r="AE296" s="242">
        <v>506022</v>
      </c>
      <c r="AF296" s="242" t="s">
        <v>400</v>
      </c>
      <c r="AG296" s="242">
        <v>506022</v>
      </c>
    </row>
    <row r="297" spans="30:33">
      <c r="AD297" s="17" t="s">
        <v>956</v>
      </c>
      <c r="AE297" s="242">
        <v>520113</v>
      </c>
      <c r="AF297" s="242" t="s">
        <v>982</v>
      </c>
      <c r="AG297" s="242">
        <v>520113</v>
      </c>
    </row>
    <row r="298" spans="30:33">
      <c r="AD298" s="17" t="s">
        <v>1195</v>
      </c>
      <c r="AE298" s="242">
        <v>532670</v>
      </c>
      <c r="AF298" s="242" t="s">
        <v>395</v>
      </c>
      <c r="AG298" s="242">
        <v>532670</v>
      </c>
    </row>
    <row r="299" spans="30:33">
      <c r="AD299" s="17" t="s">
        <v>1197</v>
      </c>
      <c r="AE299" s="242">
        <v>532654</v>
      </c>
      <c r="AF299" s="242" t="s">
        <v>392</v>
      </c>
      <c r="AG299" s="242">
        <v>532654</v>
      </c>
    </row>
    <row r="300" spans="30:33">
      <c r="AD300" s="17" t="s">
        <v>1198</v>
      </c>
      <c r="AE300" s="242">
        <v>519600</v>
      </c>
      <c r="AF300" s="242" t="s">
        <v>969</v>
      </c>
      <c r="AG300" s="242">
        <v>519600</v>
      </c>
    </row>
    <row r="301" spans="30:33">
      <c r="AD301" s="17" t="s">
        <v>1199</v>
      </c>
      <c r="AE301" s="242">
        <v>532822</v>
      </c>
      <c r="AF301" s="242" t="s">
        <v>388</v>
      </c>
      <c r="AG301" s="242">
        <v>532822</v>
      </c>
    </row>
    <row r="302" spans="30:33">
      <c r="AD302" s="17" t="s">
        <v>1200</v>
      </c>
      <c r="AE302" s="242">
        <v>532371</v>
      </c>
      <c r="AF302" s="242" t="s">
        <v>384</v>
      </c>
      <c r="AG302" s="242">
        <v>532371</v>
      </c>
    </row>
    <row r="303" spans="30:33">
      <c r="AD303" s="17" t="s">
        <v>1201</v>
      </c>
      <c r="AE303" s="242">
        <v>532493</v>
      </c>
      <c r="AF303" s="242" t="s">
        <v>986</v>
      </c>
      <c r="AG303" s="242">
        <v>532493</v>
      </c>
    </row>
    <row r="304" spans="30:33">
      <c r="AD304" s="17" t="s">
        <v>1203</v>
      </c>
      <c r="AE304" s="242">
        <v>513377</v>
      </c>
      <c r="AF304" s="242" t="s">
        <v>378</v>
      </c>
      <c r="AG304" s="242">
        <v>513377</v>
      </c>
    </row>
    <row r="305" spans="30:33">
      <c r="AD305" s="17" t="s">
        <v>1204</v>
      </c>
      <c r="AE305" s="242">
        <v>506146</v>
      </c>
      <c r="AF305" s="242" t="s">
        <v>1205</v>
      </c>
      <c r="AG305" s="242">
        <v>506146</v>
      </c>
    </row>
    <row r="306" spans="30:33">
      <c r="AD306" s="17" t="s">
        <v>1213</v>
      </c>
      <c r="AE306" s="242">
        <v>530517</v>
      </c>
      <c r="AF306" s="242" t="s">
        <v>975</v>
      </c>
      <c r="AG306" s="242">
        <v>530517</v>
      </c>
    </row>
    <row r="307" spans="30:33">
      <c r="AD307" s="17" t="s">
        <v>1215</v>
      </c>
      <c r="AE307" s="242">
        <v>500877</v>
      </c>
      <c r="AF307" s="242" t="s">
        <v>351</v>
      </c>
      <c r="AG307" s="242">
        <v>500877</v>
      </c>
    </row>
    <row r="308" spans="30:33">
      <c r="AD308" s="17" t="s">
        <v>1218</v>
      </c>
      <c r="AE308" s="242">
        <v>532345</v>
      </c>
      <c r="AF308" s="242" t="s">
        <v>1209</v>
      </c>
      <c r="AG308" s="242">
        <v>532345</v>
      </c>
    </row>
    <row r="309" spans="30:33">
      <c r="AD309" s="17" t="s">
        <v>1221</v>
      </c>
      <c r="AE309" s="242">
        <v>500101</v>
      </c>
      <c r="AF309" s="242" t="s">
        <v>357</v>
      </c>
      <c r="AG309" s="242">
        <v>500101</v>
      </c>
    </row>
    <row r="310" spans="30:33">
      <c r="AD310" s="17" t="s">
        <v>1222</v>
      </c>
      <c r="AE310" s="242">
        <v>502986</v>
      </c>
      <c r="AF310" s="242" t="s">
        <v>353</v>
      </c>
      <c r="AG310" s="242">
        <v>502986</v>
      </c>
    </row>
    <row r="311" spans="30:33">
      <c r="AD311" s="17" t="s">
        <v>1224</v>
      </c>
      <c r="AE311" s="242">
        <v>533204</v>
      </c>
      <c r="AF311" s="242" t="s">
        <v>361</v>
      </c>
      <c r="AG311" s="242">
        <v>533204</v>
      </c>
    </row>
    <row r="312" spans="30:33">
      <c r="AD312" s="17" t="s">
        <v>1244</v>
      </c>
      <c r="AE312" s="242">
        <v>533553</v>
      </c>
      <c r="AF312" s="242" t="s">
        <v>1245</v>
      </c>
      <c r="AG312" s="242">
        <v>533553</v>
      </c>
    </row>
    <row r="313" spans="30:33">
      <c r="AD313" s="17" t="s">
        <v>1247</v>
      </c>
      <c r="AE313" s="242">
        <v>532374</v>
      </c>
      <c r="AF313" s="242" t="s">
        <v>1248</v>
      </c>
      <c r="AG313" s="242">
        <v>532374</v>
      </c>
    </row>
    <row r="314" spans="30:33">
      <c r="AD314" s="17" t="s">
        <v>1249</v>
      </c>
      <c r="AE314" s="242">
        <v>532749</v>
      </c>
      <c r="AF314" s="242" t="s">
        <v>369</v>
      </c>
      <c r="AG314" s="242">
        <v>532749</v>
      </c>
    </row>
    <row r="315" spans="30:33">
      <c r="AD315" s="17" t="s">
        <v>1252</v>
      </c>
      <c r="AE315" s="242">
        <v>500413</v>
      </c>
      <c r="AF315" s="242" t="s">
        <v>1253</v>
      </c>
      <c r="AG315" s="242">
        <v>500413</v>
      </c>
    </row>
    <row r="316" spans="30:33">
      <c r="AD316" s="17" t="s">
        <v>1258</v>
      </c>
      <c r="AE316" s="242">
        <v>505790</v>
      </c>
      <c r="AF316" s="242" t="s">
        <v>1260</v>
      </c>
      <c r="AG316" s="242">
        <v>505790</v>
      </c>
    </row>
    <row r="317" spans="30:33">
      <c r="AD317" s="17" t="s">
        <v>322</v>
      </c>
      <c r="AE317" s="240">
        <v>531979</v>
      </c>
      <c r="AF317" s="242" t="s">
        <v>1014</v>
      </c>
      <c r="AG317" s="240">
        <v>531979</v>
      </c>
    </row>
    <row r="318" spans="30:33">
      <c r="AD318" s="17" t="s">
        <v>347</v>
      </c>
      <c r="AE318" s="242">
        <v>532343</v>
      </c>
      <c r="AF318" s="242" t="s">
        <v>765</v>
      </c>
      <c r="AG318" s="242">
        <v>532343</v>
      </c>
    </row>
    <row r="319" spans="30:33">
      <c r="AD319" s="17" t="s">
        <v>296</v>
      </c>
      <c r="AE319" s="240">
        <v>500033</v>
      </c>
      <c r="AF319" s="242" t="s">
        <v>1015</v>
      </c>
      <c r="AG319" s="240">
        <v>500033</v>
      </c>
    </row>
    <row r="320" spans="30:33">
      <c r="AD320" s="17" t="s">
        <v>272</v>
      </c>
      <c r="AE320" s="240">
        <v>531807</v>
      </c>
      <c r="AF320" s="242" t="s">
        <v>752</v>
      </c>
      <c r="AG320" s="240">
        <v>531807</v>
      </c>
    </row>
    <row r="321" spans="30:33">
      <c r="AD321" s="17" t="s">
        <v>295</v>
      </c>
      <c r="AE321" s="240">
        <v>532215</v>
      </c>
      <c r="AF321" s="242" t="s">
        <v>758</v>
      </c>
      <c r="AG321" s="240">
        <v>532215</v>
      </c>
    </row>
    <row r="322" spans="30:33">
      <c r="AD322" s="17" t="s">
        <v>257</v>
      </c>
      <c r="AE322" s="240">
        <v>590003</v>
      </c>
      <c r="AF322" s="242" t="s">
        <v>1016</v>
      </c>
      <c r="AG322" s="240">
        <v>590003</v>
      </c>
    </row>
    <row r="323" spans="30:33">
      <c r="AD323" s="17" t="s">
        <v>256</v>
      </c>
      <c r="AE323" s="240">
        <v>534690</v>
      </c>
      <c r="AF323" s="242" t="s">
        <v>749</v>
      </c>
      <c r="AG323" s="240">
        <v>534690</v>
      </c>
    </row>
    <row r="324" spans="30:33">
      <c r="AD324" s="17" t="s">
        <v>255</v>
      </c>
      <c r="AE324" s="240">
        <v>532483</v>
      </c>
      <c r="AF324" s="242" t="s">
        <v>741</v>
      </c>
      <c r="AG324" s="240">
        <v>532483</v>
      </c>
    </row>
    <row r="325" spans="30:33">
      <c r="AD325" s="17" t="s">
        <v>318</v>
      </c>
      <c r="AE325" s="240">
        <v>532505</v>
      </c>
      <c r="AF325" s="242" t="s">
        <v>1019</v>
      </c>
      <c r="AG325" s="240">
        <v>532505</v>
      </c>
    </row>
    <row r="326" spans="30:33">
      <c r="AD326" s="17" t="s">
        <v>346</v>
      </c>
      <c r="AE326" s="240">
        <v>532418</v>
      </c>
      <c r="AF326" s="242" t="s">
        <v>1029</v>
      </c>
      <c r="AG326" s="240">
        <v>532418</v>
      </c>
    </row>
    <row r="327" spans="30:33">
      <c r="AD327" s="17" t="s">
        <v>345</v>
      </c>
      <c r="AE327" s="242">
        <v>507205</v>
      </c>
      <c r="AF327" s="242" t="s">
        <v>735</v>
      </c>
      <c r="AG327" s="242">
        <v>507205</v>
      </c>
    </row>
    <row r="328" spans="30:33">
      <c r="AD328" s="17" t="s">
        <v>294</v>
      </c>
      <c r="AE328" s="240">
        <v>513335</v>
      </c>
      <c r="AF328" s="242" t="s">
        <v>1037</v>
      </c>
      <c r="AG328" s="240">
        <v>513335</v>
      </c>
    </row>
    <row r="329" spans="30:33">
      <c r="AD329" s="17" t="s">
        <v>254</v>
      </c>
      <c r="AE329" s="240">
        <v>500387</v>
      </c>
      <c r="AF329" s="242" t="s">
        <v>731</v>
      </c>
      <c r="AG329" s="240">
        <v>500387</v>
      </c>
    </row>
    <row r="330" spans="30:33">
      <c r="AD330" s="17" t="s">
        <v>344</v>
      </c>
      <c r="AE330" s="242">
        <v>500338</v>
      </c>
      <c r="AF330" s="242" t="s">
        <v>725</v>
      </c>
      <c r="AG330" s="242">
        <v>500338</v>
      </c>
    </row>
    <row r="331" spans="30:33">
      <c r="AD331" s="17" t="s">
        <v>343</v>
      </c>
      <c r="AE331" s="242">
        <v>502165</v>
      </c>
      <c r="AF331" s="242" t="s">
        <v>1039</v>
      </c>
      <c r="AG331" s="242">
        <v>502165</v>
      </c>
    </row>
    <row r="332" spans="30:33">
      <c r="AD332" s="17" t="s">
        <v>293</v>
      </c>
      <c r="AE332" s="240">
        <v>502157</v>
      </c>
      <c r="AF332" s="242" t="s">
        <v>972</v>
      </c>
      <c r="AG332" s="240">
        <v>502157</v>
      </c>
    </row>
    <row r="333" spans="30:33">
      <c r="AD333" s="17" t="s">
        <v>342</v>
      </c>
      <c r="AE333" s="240">
        <v>500233</v>
      </c>
      <c r="AF333" s="242" t="s">
        <v>720</v>
      </c>
      <c r="AG333" s="240">
        <v>500233</v>
      </c>
    </row>
    <row r="334" spans="30:33">
      <c r="AD334" s="17" t="s">
        <v>316</v>
      </c>
      <c r="AE334" s="240">
        <v>524208</v>
      </c>
      <c r="AF334" s="242" t="s">
        <v>938</v>
      </c>
      <c r="AG334" s="240">
        <v>524208</v>
      </c>
    </row>
    <row r="335" spans="30:33">
      <c r="AD335" s="17" t="s">
        <v>315</v>
      </c>
      <c r="AE335" s="240">
        <v>530001</v>
      </c>
      <c r="AF335" s="242" t="s">
        <v>716</v>
      </c>
      <c r="AG335" s="240">
        <v>530001</v>
      </c>
    </row>
    <row r="336" spans="30:33">
      <c r="AD336" s="17" t="s">
        <v>313</v>
      </c>
      <c r="AE336" s="240">
        <v>500092</v>
      </c>
      <c r="AF336" s="242" t="s">
        <v>711</v>
      </c>
      <c r="AG336" s="240">
        <v>500092</v>
      </c>
    </row>
    <row r="337" spans="30:33">
      <c r="AD337" s="17" t="s">
        <v>271</v>
      </c>
      <c r="AE337" s="240">
        <v>505283</v>
      </c>
      <c r="AF337" s="242" t="s">
        <v>1049</v>
      </c>
      <c r="AG337" s="240">
        <v>505283</v>
      </c>
    </row>
    <row r="338" spans="30:33">
      <c r="AD338" s="17" t="s">
        <v>312</v>
      </c>
      <c r="AE338" s="240">
        <v>532696</v>
      </c>
      <c r="AF338" s="242" t="s">
        <v>706</v>
      </c>
      <c r="AG338" s="240">
        <v>532696</v>
      </c>
    </row>
    <row r="339" spans="30:33">
      <c r="AD339" s="17" t="s">
        <v>253</v>
      </c>
      <c r="AE339" s="240">
        <v>532805</v>
      </c>
      <c r="AF339" s="242" t="s">
        <v>703</v>
      </c>
      <c r="AG339" s="240">
        <v>532805</v>
      </c>
    </row>
    <row r="340" spans="30:33">
      <c r="AD340" s="17" t="s">
        <v>291</v>
      </c>
      <c r="AE340" s="240">
        <v>507685</v>
      </c>
      <c r="AF340" s="242" t="s">
        <v>700</v>
      </c>
      <c r="AG340" s="240">
        <v>507685</v>
      </c>
    </row>
    <row r="341" spans="30:33">
      <c r="AD341" s="17" t="s">
        <v>269</v>
      </c>
      <c r="AE341" s="240">
        <v>532819</v>
      </c>
      <c r="AF341" s="242" t="s">
        <v>686</v>
      </c>
      <c r="AG341" s="240">
        <v>532819</v>
      </c>
    </row>
    <row r="342" spans="30:33">
      <c r="AD342" s="17" t="s">
        <v>252</v>
      </c>
      <c r="AE342" s="240">
        <v>532368</v>
      </c>
      <c r="AF342" s="242" t="s">
        <v>698</v>
      </c>
      <c r="AG342" s="240">
        <v>532368</v>
      </c>
    </row>
    <row r="343" spans="30:33">
      <c r="AD343" s="17" t="s">
        <v>251</v>
      </c>
      <c r="AE343" s="240">
        <v>500366</v>
      </c>
      <c r="AF343" s="242" t="s">
        <v>1057</v>
      </c>
      <c r="AG343" s="240">
        <v>500366</v>
      </c>
    </row>
    <row r="344" spans="30:33">
      <c r="AD344" s="17" t="s">
        <v>290</v>
      </c>
      <c r="AE344" s="240">
        <v>532947</v>
      </c>
      <c r="AF344" s="242" t="s">
        <v>674</v>
      </c>
      <c r="AG344" s="240">
        <v>532947</v>
      </c>
    </row>
    <row r="345" spans="30:33">
      <c r="AD345" s="17" t="s">
        <v>250</v>
      </c>
      <c r="AE345" s="240">
        <v>500185</v>
      </c>
      <c r="AF345" s="242" t="s">
        <v>679</v>
      </c>
      <c r="AG345" s="240">
        <v>500185</v>
      </c>
    </row>
    <row r="346" spans="30:33">
      <c r="AD346" s="17" t="s">
        <v>289</v>
      </c>
      <c r="AE346" s="240">
        <v>533177</v>
      </c>
      <c r="AF346" s="242" t="s">
        <v>620</v>
      </c>
      <c r="AG346" s="240">
        <v>533177</v>
      </c>
    </row>
    <row r="347" spans="30:33">
      <c r="AD347" s="17" t="s">
        <v>311</v>
      </c>
      <c r="AE347" s="240">
        <v>532959</v>
      </c>
      <c r="AF347" s="242" t="s">
        <v>1066</v>
      </c>
      <c r="AG347" s="240">
        <v>532959</v>
      </c>
    </row>
    <row r="348" spans="30:33">
      <c r="AD348" s="17" t="s">
        <v>630</v>
      </c>
      <c r="AE348" s="240">
        <v>532880</v>
      </c>
      <c r="AF348" s="242" t="s">
        <v>662</v>
      </c>
      <c r="AG348" s="240">
        <v>532880</v>
      </c>
    </row>
    <row r="349" spans="30:33">
      <c r="AD349" s="17" t="s">
        <v>288</v>
      </c>
      <c r="AE349" s="240">
        <v>515055</v>
      </c>
      <c r="AF349" s="242" t="s">
        <v>669</v>
      </c>
      <c r="AG349" s="240">
        <v>515055</v>
      </c>
    </row>
    <row r="350" spans="30:33">
      <c r="AD350" s="17" t="s">
        <v>245</v>
      </c>
      <c r="AE350" s="240">
        <v>533273</v>
      </c>
      <c r="AF350" s="242" t="s">
        <v>656</v>
      </c>
      <c r="AG350" s="240">
        <v>533273</v>
      </c>
    </row>
    <row r="351" spans="30:33">
      <c r="AD351" s="17" t="s">
        <v>310</v>
      </c>
      <c r="AE351" s="240">
        <v>532873</v>
      </c>
      <c r="AF351" s="242" t="s">
        <v>652</v>
      </c>
      <c r="AG351" s="240">
        <v>532873</v>
      </c>
    </row>
    <row r="352" spans="30:33">
      <c r="AD352" s="17" t="s">
        <v>341</v>
      </c>
      <c r="AE352" s="242">
        <v>500031</v>
      </c>
      <c r="AF352" s="242" t="s">
        <v>650</v>
      </c>
      <c r="AG352" s="242">
        <v>500031</v>
      </c>
    </row>
    <row r="353" spans="30:33">
      <c r="AD353" s="17" t="s">
        <v>244</v>
      </c>
      <c r="AE353" s="240">
        <v>517518</v>
      </c>
      <c r="AF353" s="242" t="s">
        <v>1080</v>
      </c>
      <c r="AG353" s="240">
        <v>517518</v>
      </c>
    </row>
    <row r="354" spans="30:33">
      <c r="AD354" s="17" t="s">
        <v>340</v>
      </c>
      <c r="AE354" s="242">
        <v>500093</v>
      </c>
      <c r="AF354" s="242" t="s">
        <v>637</v>
      </c>
      <c r="AG354" s="242">
        <v>500093</v>
      </c>
    </row>
    <row r="355" spans="30:33">
      <c r="AD355" s="17" t="s">
        <v>598</v>
      </c>
      <c r="AE355" s="242">
        <v>533655</v>
      </c>
      <c r="AF355" s="242" t="s">
        <v>640</v>
      </c>
      <c r="AG355" s="242">
        <v>533655</v>
      </c>
    </row>
    <row r="356" spans="30:33">
      <c r="AD356" s="17" t="s">
        <v>243</v>
      </c>
      <c r="AE356" s="240">
        <v>522275</v>
      </c>
      <c r="AF356" s="242" t="s">
        <v>638</v>
      </c>
      <c r="AG356" s="240">
        <v>522275</v>
      </c>
    </row>
    <row r="357" spans="30:33">
      <c r="AD357" s="17" t="s">
        <v>267</v>
      </c>
      <c r="AE357" s="240">
        <v>533326</v>
      </c>
      <c r="AF357" s="242" t="s">
        <v>627</v>
      </c>
      <c r="AG357" s="240">
        <v>533326</v>
      </c>
    </row>
    <row r="358" spans="30:33">
      <c r="AD358" s="17" t="s">
        <v>287</v>
      </c>
      <c r="AE358" s="240">
        <v>533276</v>
      </c>
      <c r="AF358" s="242" t="s">
        <v>624</v>
      </c>
      <c r="AG358" s="240">
        <v>533276</v>
      </c>
    </row>
    <row r="359" spans="30:33">
      <c r="AD359" s="17" t="s">
        <v>266</v>
      </c>
      <c r="AE359" s="240">
        <v>500133</v>
      </c>
      <c r="AF359" s="242" t="s">
        <v>1085</v>
      </c>
      <c r="AG359" s="240">
        <v>500133</v>
      </c>
    </row>
    <row r="360" spans="30:33">
      <c r="AD360" s="17" t="s">
        <v>242</v>
      </c>
      <c r="AE360" s="240">
        <v>531431</v>
      </c>
      <c r="AF360" s="242" t="s">
        <v>1086</v>
      </c>
      <c r="AG360" s="240">
        <v>531431</v>
      </c>
    </row>
    <row r="361" spans="30:33">
      <c r="AD361" s="17" t="s">
        <v>339</v>
      </c>
      <c r="AE361" s="240">
        <v>531847</v>
      </c>
      <c r="AF361" s="242" t="s">
        <v>1090</v>
      </c>
      <c r="AG361" s="240">
        <v>531847</v>
      </c>
    </row>
    <row r="362" spans="30:33">
      <c r="AD362" s="17" t="s">
        <v>338</v>
      </c>
      <c r="AE362" s="240">
        <v>532399</v>
      </c>
      <c r="AF362" s="242" t="s">
        <v>1092</v>
      </c>
      <c r="AG362" s="240">
        <v>532399</v>
      </c>
    </row>
    <row r="363" spans="30:33">
      <c r="AD363" s="17" t="s">
        <v>265</v>
      </c>
      <c r="AE363" s="1">
        <v>501455</v>
      </c>
      <c r="AF363" s="242" t="s">
        <v>618</v>
      </c>
      <c r="AG363" s="1">
        <v>501455</v>
      </c>
    </row>
    <row r="364" spans="30:33">
      <c r="AD364" s="17" t="s">
        <v>285</v>
      </c>
      <c r="AE364" s="240">
        <v>533162</v>
      </c>
      <c r="AF364" s="242" t="s">
        <v>603</v>
      </c>
      <c r="AG364" s="240">
        <v>533162</v>
      </c>
    </row>
    <row r="365" spans="30:33">
      <c r="AD365" s="17" t="s">
        <v>539</v>
      </c>
      <c r="AE365" s="240">
        <v>532700</v>
      </c>
      <c r="AF365" s="242" t="s">
        <v>607</v>
      </c>
      <c r="AG365" s="240">
        <v>532700</v>
      </c>
    </row>
    <row r="366" spans="30:33">
      <c r="AD366" s="17" t="s">
        <v>336</v>
      </c>
      <c r="AE366" s="240">
        <v>500690</v>
      </c>
      <c r="AF366" s="242" t="s">
        <v>592</v>
      </c>
      <c r="AG366" s="240">
        <v>500690</v>
      </c>
    </row>
    <row r="367" spans="30:33">
      <c r="AD367" s="17" t="s">
        <v>284</v>
      </c>
      <c r="AE367" s="240">
        <v>523630</v>
      </c>
      <c r="AF367" s="242" t="s">
        <v>595</v>
      </c>
      <c r="AG367" s="240">
        <v>523630</v>
      </c>
    </row>
    <row r="368" spans="30:33">
      <c r="AD368" s="17" t="s">
        <v>531</v>
      </c>
      <c r="AE368" s="240">
        <v>500111</v>
      </c>
      <c r="AF368" s="242" t="s">
        <v>581</v>
      </c>
      <c r="AG368" s="240">
        <v>500111</v>
      </c>
    </row>
    <row r="369" spans="30:33">
      <c r="AD369" s="17" t="s">
        <v>335</v>
      </c>
      <c r="AE369" s="240">
        <v>505502</v>
      </c>
      <c r="AF369" s="242" t="s">
        <v>1098</v>
      </c>
      <c r="AG369" s="240">
        <v>505502</v>
      </c>
    </row>
    <row r="370" spans="30:33">
      <c r="AD370" s="17" t="s">
        <v>527</v>
      </c>
      <c r="AE370" s="240">
        <v>501314</v>
      </c>
      <c r="AF370" s="242" t="s">
        <v>1103</v>
      </c>
      <c r="AG370" s="240">
        <v>501314</v>
      </c>
    </row>
    <row r="371" spans="30:33">
      <c r="AD371" s="17" t="s">
        <v>333</v>
      </c>
      <c r="AE371" s="240">
        <v>511288</v>
      </c>
      <c r="AF371" s="242" t="s">
        <v>576</v>
      </c>
      <c r="AG371" s="240">
        <v>511288</v>
      </c>
    </row>
    <row r="372" spans="30:33">
      <c r="AD372" s="17" t="s">
        <v>309</v>
      </c>
      <c r="AE372" s="240">
        <v>532659</v>
      </c>
      <c r="AF372" s="242" t="s">
        <v>558</v>
      </c>
      <c r="AG372" s="240">
        <v>532659</v>
      </c>
    </row>
    <row r="373" spans="30:33">
      <c r="AD373" s="17" t="s">
        <v>332</v>
      </c>
      <c r="AE373" s="242">
        <v>532798</v>
      </c>
      <c r="AF373" s="242" t="s">
        <v>567</v>
      </c>
      <c r="AG373" s="242">
        <v>532798</v>
      </c>
    </row>
    <row r="374" spans="30:33">
      <c r="AD374" s="17" t="s">
        <v>331</v>
      </c>
      <c r="AE374" s="242">
        <v>523405</v>
      </c>
      <c r="AF374" s="242" t="s">
        <v>560</v>
      </c>
      <c r="AG374" s="242">
        <v>523405</v>
      </c>
    </row>
    <row r="375" spans="30:33">
      <c r="AD375" s="17" t="s">
        <v>308</v>
      </c>
      <c r="AE375" s="240">
        <v>535431</v>
      </c>
      <c r="AF375" s="242" t="s">
        <v>1113</v>
      </c>
      <c r="AG375" s="240">
        <v>535431</v>
      </c>
    </row>
    <row r="376" spans="30:33">
      <c r="AD376" s="17" t="s">
        <v>282</v>
      </c>
      <c r="AE376" s="240">
        <v>502448</v>
      </c>
      <c r="AF376" s="242" t="s">
        <v>1121</v>
      </c>
      <c r="AG376" s="240">
        <v>502448</v>
      </c>
    </row>
    <row r="377" spans="30:33">
      <c r="AD377" s="17" t="s">
        <v>504</v>
      </c>
      <c r="AE377" s="240">
        <v>500825</v>
      </c>
      <c r="AF377" s="242" t="s">
        <v>554</v>
      </c>
      <c r="AG377" s="240">
        <v>500825</v>
      </c>
    </row>
    <row r="378" spans="30:33">
      <c r="AD378" s="17" t="s">
        <v>281</v>
      </c>
      <c r="AE378" s="240">
        <v>531335</v>
      </c>
      <c r="AF378" s="242" t="s">
        <v>548</v>
      </c>
      <c r="AG378" s="240">
        <v>531335</v>
      </c>
    </row>
    <row r="379" spans="30:33">
      <c r="AD379" s="17" t="s">
        <v>264</v>
      </c>
      <c r="AE379" s="240">
        <v>534839</v>
      </c>
      <c r="AF379" s="242" t="s">
        <v>1129</v>
      </c>
      <c r="AG379" s="240">
        <v>534839</v>
      </c>
    </row>
    <row r="380" spans="30:33">
      <c r="AD380" s="17" t="s">
        <v>280</v>
      </c>
      <c r="AE380" s="240">
        <v>524226</v>
      </c>
      <c r="AF380" s="242" t="s">
        <v>1133</v>
      </c>
      <c r="AG380" s="240">
        <v>524226</v>
      </c>
    </row>
    <row r="381" spans="30:33">
      <c r="AD381" s="17" t="s">
        <v>239</v>
      </c>
      <c r="AE381" s="240">
        <v>532702</v>
      </c>
      <c r="AF381" s="242" t="s">
        <v>543</v>
      </c>
      <c r="AG381" s="240">
        <v>532702</v>
      </c>
    </row>
    <row r="382" spans="30:33">
      <c r="AD382" s="17" t="s">
        <v>279</v>
      </c>
      <c r="AE382" s="240">
        <v>532189</v>
      </c>
      <c r="AF382" s="242" t="s">
        <v>1140</v>
      </c>
      <c r="AG382" s="240">
        <v>532189</v>
      </c>
    </row>
    <row r="383" spans="30:33">
      <c r="AD383" s="17" t="s">
        <v>307</v>
      </c>
      <c r="AE383" s="240">
        <v>515145</v>
      </c>
      <c r="AF383" s="242" t="s">
        <v>1142</v>
      </c>
      <c r="AG383" s="240">
        <v>515145</v>
      </c>
    </row>
    <row r="384" spans="30:33">
      <c r="AD384" s="17" t="s">
        <v>241</v>
      </c>
      <c r="AE384" s="240">
        <v>506480</v>
      </c>
      <c r="AF384" s="242" t="s">
        <v>530</v>
      </c>
      <c r="AG384" s="240">
        <v>506480</v>
      </c>
    </row>
    <row r="385" spans="30:33">
      <c r="AD385" s="17" t="s">
        <v>304</v>
      </c>
      <c r="AE385" s="240">
        <v>532932</v>
      </c>
      <c r="AF385" s="242" t="s">
        <v>1149</v>
      </c>
      <c r="AG385" s="240">
        <v>532932</v>
      </c>
    </row>
    <row r="386" spans="30:33">
      <c r="AD386" s="17" t="s">
        <v>277</v>
      </c>
      <c r="AE386" s="240">
        <v>526371</v>
      </c>
      <c r="AF386" s="242" t="s">
        <v>522</v>
      </c>
      <c r="AG386" s="240">
        <v>526371</v>
      </c>
    </row>
    <row r="387" spans="30:33">
      <c r="AD387" s="17" t="s">
        <v>276</v>
      </c>
      <c r="AE387" s="240">
        <v>527001</v>
      </c>
      <c r="AF387" s="242" t="s">
        <v>1152</v>
      </c>
      <c r="AG387" s="240">
        <v>527001</v>
      </c>
    </row>
    <row r="388" spans="30:33">
      <c r="AD388" s="17" t="s">
        <v>414</v>
      </c>
      <c r="AE388" s="240">
        <v>590078</v>
      </c>
      <c r="AF388" s="242" t="s">
        <v>1155</v>
      </c>
      <c r="AG388" s="240">
        <v>590078</v>
      </c>
    </row>
    <row r="389" spans="30:33">
      <c r="AD389" s="17" t="s">
        <v>262</v>
      </c>
      <c r="AE389" s="240">
        <v>500710</v>
      </c>
      <c r="AF389" s="242" t="s">
        <v>512</v>
      </c>
      <c r="AG389" s="240">
        <v>500710</v>
      </c>
    </row>
    <row r="390" spans="30:33">
      <c r="AD390" s="17" t="s">
        <v>275</v>
      </c>
      <c r="AE390" s="240">
        <v>500186</v>
      </c>
      <c r="AF390" s="242" t="s">
        <v>517</v>
      </c>
      <c r="AG390" s="240">
        <v>500186</v>
      </c>
    </row>
    <row r="391" spans="30:33">
      <c r="AD391" s="17" t="s">
        <v>301</v>
      </c>
      <c r="AE391" s="240">
        <v>531426</v>
      </c>
      <c r="AF391" s="242" t="s">
        <v>984</v>
      </c>
      <c r="AG391" s="240">
        <v>531426</v>
      </c>
    </row>
    <row r="392" spans="30:33">
      <c r="AD392" s="17" t="s">
        <v>300</v>
      </c>
      <c r="AE392" s="240">
        <v>500830</v>
      </c>
      <c r="AF392" s="242" t="s">
        <v>502</v>
      </c>
      <c r="AG392" s="240">
        <v>500830</v>
      </c>
    </row>
    <row r="393" spans="30:33">
      <c r="AD393" s="17" t="s">
        <v>329</v>
      </c>
      <c r="AE393" s="242">
        <v>507815</v>
      </c>
      <c r="AF393" s="242" t="s">
        <v>497</v>
      </c>
      <c r="AG393" s="242">
        <v>507815</v>
      </c>
    </row>
    <row r="394" spans="30:33">
      <c r="AD394" s="17" t="s">
        <v>380</v>
      </c>
      <c r="AE394" s="242">
        <v>523642</v>
      </c>
      <c r="AF394" s="242" t="s">
        <v>493</v>
      </c>
      <c r="AG394" s="242">
        <v>523642</v>
      </c>
    </row>
    <row r="395" spans="30:33">
      <c r="AD395" s="17" t="s">
        <v>299</v>
      </c>
      <c r="AE395" s="240">
        <v>507717</v>
      </c>
      <c r="AF395" s="242" t="s">
        <v>966</v>
      </c>
      <c r="AG395" s="240">
        <v>507717</v>
      </c>
    </row>
    <row r="396" spans="30:33">
      <c r="AD396" s="17" t="s">
        <v>273</v>
      </c>
      <c r="AE396" s="240">
        <v>500124</v>
      </c>
      <c r="AF396" s="242" t="s">
        <v>459</v>
      </c>
      <c r="AG396" s="240">
        <v>500124</v>
      </c>
    </row>
    <row r="397" spans="30:33">
      <c r="AD397" s="17" t="s">
        <v>328</v>
      </c>
      <c r="AE397" s="240">
        <v>500359</v>
      </c>
      <c r="AF397" s="242" t="s">
        <v>463</v>
      </c>
      <c r="AG397" s="240">
        <v>500359</v>
      </c>
    </row>
    <row r="398" spans="30:33">
      <c r="AD398" s="17" t="s">
        <v>327</v>
      </c>
      <c r="AE398" s="1">
        <v>532300</v>
      </c>
      <c r="AF398" s="242" t="s">
        <v>473</v>
      </c>
      <c r="AG398" s="1">
        <v>532300</v>
      </c>
    </row>
    <row r="399" spans="30:33">
      <c r="AD399" s="17" t="s">
        <v>367</v>
      </c>
      <c r="AE399" s="1">
        <v>532331</v>
      </c>
      <c r="AF399" s="242" t="s">
        <v>477</v>
      </c>
      <c r="AG399" s="1">
        <v>532331</v>
      </c>
    </row>
    <row r="400" spans="30:33">
      <c r="AD400" s="17" t="s">
        <v>365</v>
      </c>
      <c r="AE400" s="1">
        <v>530239</v>
      </c>
      <c r="AF400" s="242" t="s">
        <v>1166</v>
      </c>
      <c r="AG400" s="1">
        <v>530239</v>
      </c>
    </row>
    <row r="401" spans="30:33">
      <c r="AD401" s="17" t="s">
        <v>326</v>
      </c>
      <c r="AE401" s="242">
        <v>500126</v>
      </c>
      <c r="AF401" s="242" t="s">
        <v>973</v>
      </c>
      <c r="AG401" s="242">
        <v>500126</v>
      </c>
    </row>
    <row r="402" spans="30:33">
      <c r="AD402" s="17" t="s">
        <v>246</v>
      </c>
      <c r="AE402" s="240">
        <v>500288</v>
      </c>
      <c r="AF402" s="242" t="s">
        <v>1175</v>
      </c>
      <c r="AG402" s="240">
        <v>500288</v>
      </c>
    </row>
    <row r="403" spans="30:33">
      <c r="AD403" s="17" t="s">
        <v>325</v>
      </c>
      <c r="AE403" s="240">
        <v>500940</v>
      </c>
      <c r="AF403" s="242" t="s">
        <v>457</v>
      </c>
      <c r="AG403" s="240">
        <v>500940</v>
      </c>
    </row>
    <row r="404" spans="30:33">
      <c r="AD404" s="17" t="s">
        <v>298</v>
      </c>
      <c r="AE404" s="240">
        <v>512237</v>
      </c>
      <c r="AF404" s="242" t="s">
        <v>451</v>
      </c>
      <c r="AG404" s="240">
        <v>512237</v>
      </c>
    </row>
    <row r="405" spans="30:33">
      <c r="AD405" s="17" t="s">
        <v>324</v>
      </c>
      <c r="AE405" s="240">
        <v>532939</v>
      </c>
      <c r="AF405" s="242" t="s">
        <v>447</v>
      </c>
      <c r="AG405" s="240">
        <v>532939</v>
      </c>
    </row>
    <row r="406" spans="30:33">
      <c r="AD406" s="17" t="s">
        <v>920</v>
      </c>
      <c r="AE406" s="240">
        <v>533096</v>
      </c>
      <c r="AF406" s="242" t="s">
        <v>437</v>
      </c>
      <c r="AG406" s="240">
        <v>533096</v>
      </c>
    </row>
    <row r="407" spans="30:33">
      <c r="AD407" s="17" t="s">
        <v>922</v>
      </c>
      <c r="AE407" s="240">
        <v>532627</v>
      </c>
      <c r="AF407" s="242" t="s">
        <v>441</v>
      </c>
      <c r="AG407" s="240">
        <v>532627</v>
      </c>
    </row>
    <row r="408" spans="30:33">
      <c r="AD408" s="17" t="s">
        <v>923</v>
      </c>
      <c r="AE408" s="240">
        <v>517300</v>
      </c>
      <c r="AF408" s="242" t="s">
        <v>964</v>
      </c>
      <c r="AG408" s="240">
        <v>517300</v>
      </c>
    </row>
    <row r="409" spans="30:33">
      <c r="AD409" s="17" t="s">
        <v>925</v>
      </c>
      <c r="AE409" s="240">
        <v>500630</v>
      </c>
      <c r="AF409" s="242" t="s">
        <v>449</v>
      </c>
      <c r="AG409" s="240">
        <v>500630</v>
      </c>
    </row>
    <row r="410" spans="30:33">
      <c r="AD410" s="17" t="s">
        <v>926</v>
      </c>
      <c r="AE410" s="240">
        <v>532682</v>
      </c>
      <c r="AF410" s="242" t="s">
        <v>419</v>
      </c>
      <c r="AG410" s="240">
        <v>532682</v>
      </c>
    </row>
    <row r="411" spans="30:33">
      <c r="AD411" s="17" t="s">
        <v>930</v>
      </c>
      <c r="AE411" s="240">
        <v>526807</v>
      </c>
      <c r="AF411" s="242" t="s">
        <v>977</v>
      </c>
      <c r="AG411" s="240">
        <v>526807</v>
      </c>
    </row>
    <row r="412" spans="30:33">
      <c r="AD412" s="17" t="s">
        <v>948</v>
      </c>
      <c r="AE412" s="240">
        <v>500547</v>
      </c>
      <c r="AF412" s="242" t="s">
        <v>428</v>
      </c>
      <c r="AG412" s="240">
        <v>500547</v>
      </c>
    </row>
    <row r="413" spans="30:33">
      <c r="AD413" s="17" t="s">
        <v>949</v>
      </c>
      <c r="AE413" s="240">
        <v>500109</v>
      </c>
      <c r="AF413" s="242" t="s">
        <v>424</v>
      </c>
      <c r="AG413" s="240">
        <v>500109</v>
      </c>
    </row>
    <row r="414" spans="30:33">
      <c r="AD414" s="17" t="s">
        <v>950</v>
      </c>
      <c r="AE414" s="240">
        <v>523207</v>
      </c>
      <c r="AF414" s="242" t="s">
        <v>1184</v>
      </c>
      <c r="AG414" s="240">
        <v>523207</v>
      </c>
    </row>
    <row r="415" spans="30:33">
      <c r="AD415" s="17" t="s">
        <v>951</v>
      </c>
      <c r="AE415" s="240">
        <v>523574</v>
      </c>
      <c r="AF415" s="242" t="s">
        <v>924</v>
      </c>
      <c r="AG415" s="240">
        <v>523574</v>
      </c>
    </row>
    <row r="416" spans="30:33">
      <c r="AD416" s="17" t="s">
        <v>952</v>
      </c>
      <c r="AE416" s="240">
        <v>500228</v>
      </c>
      <c r="AF416" s="242" t="s">
        <v>410</v>
      </c>
      <c r="AG416" s="240">
        <v>500228</v>
      </c>
    </row>
    <row r="417" spans="30:33">
      <c r="AD417" s="17" t="s">
        <v>953</v>
      </c>
      <c r="AE417" s="240">
        <v>500378</v>
      </c>
      <c r="AF417" s="242" t="s">
        <v>401</v>
      </c>
      <c r="AG417" s="240">
        <v>500378</v>
      </c>
    </row>
    <row r="418" spans="30:33">
      <c r="AD418" s="17" t="s">
        <v>954</v>
      </c>
      <c r="AE418" s="240">
        <v>533265</v>
      </c>
      <c r="AF418" s="242" t="s">
        <v>1187</v>
      </c>
      <c r="AG418" s="240">
        <v>533265</v>
      </c>
    </row>
    <row r="419" spans="30:33">
      <c r="AD419" s="17" t="s">
        <v>955</v>
      </c>
      <c r="AE419" s="240">
        <v>532508</v>
      </c>
      <c r="AF419" s="242" t="s">
        <v>405</v>
      </c>
      <c r="AG419" s="240">
        <v>532508</v>
      </c>
    </row>
    <row r="420" spans="30:33">
      <c r="AD420" s="17" t="s">
        <v>956</v>
      </c>
      <c r="AE420" s="240">
        <v>534076</v>
      </c>
      <c r="AF420" s="242" t="s">
        <v>1192</v>
      </c>
      <c r="AG420" s="240">
        <v>534076</v>
      </c>
    </row>
    <row r="421" spans="30:33">
      <c r="AD421" s="17" t="s">
        <v>1195</v>
      </c>
      <c r="AE421" s="240">
        <v>500038</v>
      </c>
      <c r="AF421" s="242" t="s">
        <v>396</v>
      </c>
      <c r="AG421" s="240">
        <v>500038</v>
      </c>
    </row>
    <row r="422" spans="30:33">
      <c r="AD422" s="17" t="s">
        <v>1198</v>
      </c>
      <c r="AE422" s="240">
        <v>532301</v>
      </c>
      <c r="AF422" s="242" t="s">
        <v>393</v>
      </c>
      <c r="AG422" s="240">
        <v>532301</v>
      </c>
    </row>
    <row r="423" spans="30:33">
      <c r="AD423" s="17" t="s">
        <v>1199</v>
      </c>
      <c r="AE423" s="240">
        <v>532712</v>
      </c>
      <c r="AF423" s="242" t="s">
        <v>389</v>
      </c>
      <c r="AG423" s="240">
        <v>532712</v>
      </c>
    </row>
    <row r="424" spans="30:33">
      <c r="AD424" s="17" t="s">
        <v>1200</v>
      </c>
      <c r="AE424" s="240">
        <v>532944</v>
      </c>
      <c r="AF424" s="242" t="s">
        <v>386</v>
      </c>
      <c r="AG424" s="240">
        <v>532944</v>
      </c>
    </row>
    <row r="425" spans="30:33">
      <c r="AD425" s="17" t="s">
        <v>1201</v>
      </c>
      <c r="AE425" s="240">
        <v>532775</v>
      </c>
      <c r="AF425" s="242" t="s">
        <v>383</v>
      </c>
      <c r="AG425" s="240">
        <v>532775</v>
      </c>
    </row>
    <row r="426" spans="30:33">
      <c r="AD426" s="17" t="s">
        <v>1203</v>
      </c>
      <c r="AE426" s="240">
        <v>532524</v>
      </c>
      <c r="AF426" s="242" t="s">
        <v>373</v>
      </c>
      <c r="AG426" s="240">
        <v>532524</v>
      </c>
    </row>
    <row r="427" spans="30:33">
      <c r="AD427" s="17" t="s">
        <v>1204</v>
      </c>
      <c r="AE427" s="240">
        <v>535205</v>
      </c>
      <c r="AF427" s="242" t="s">
        <v>1206</v>
      </c>
      <c r="AG427" s="240">
        <v>535205</v>
      </c>
    </row>
    <row r="428" spans="30:33">
      <c r="AD428" s="17" t="s">
        <v>1215</v>
      </c>
      <c r="AE428" s="240">
        <v>502355</v>
      </c>
      <c r="AF428" s="242" t="s">
        <v>352</v>
      </c>
      <c r="AG428" s="240">
        <v>502355</v>
      </c>
    </row>
    <row r="429" spans="30:33">
      <c r="AD429" s="17" t="s">
        <v>1221</v>
      </c>
      <c r="AE429" s="240">
        <v>503806</v>
      </c>
      <c r="AF429" s="242" t="s">
        <v>360</v>
      </c>
      <c r="AG429" s="240">
        <v>503806</v>
      </c>
    </row>
    <row r="430" spans="30:33">
      <c r="AD430" s="17" t="s">
        <v>1222</v>
      </c>
      <c r="AE430" s="240">
        <v>532732</v>
      </c>
      <c r="AF430" s="242" t="s">
        <v>940</v>
      </c>
      <c r="AG430" s="240">
        <v>532732</v>
      </c>
    </row>
    <row r="431" spans="30:33">
      <c r="AD431" s="17" t="s">
        <v>1224</v>
      </c>
      <c r="AE431" s="240">
        <v>514043</v>
      </c>
      <c r="AF431" s="242" t="s">
        <v>1225</v>
      </c>
      <c r="AG431" s="240">
        <v>514043</v>
      </c>
    </row>
    <row r="432" spans="30:33">
      <c r="AD432" s="17" t="s">
        <v>1258</v>
      </c>
      <c r="AE432" s="240">
        <v>522113</v>
      </c>
      <c r="AF432" s="242" t="s">
        <v>1261</v>
      </c>
      <c r="AG432" s="240">
        <v>522113</v>
      </c>
    </row>
    <row r="433" spans="30:33">
      <c r="AD433" s="17" t="s">
        <v>296</v>
      </c>
      <c r="AE433" s="240">
        <v>505192</v>
      </c>
      <c r="AF433" s="242" t="s">
        <v>979</v>
      </c>
      <c r="AG433" s="240">
        <v>505192</v>
      </c>
    </row>
    <row r="434" spans="30:33">
      <c r="AD434" s="17" t="s">
        <v>272</v>
      </c>
      <c r="AE434" s="240">
        <v>500469</v>
      </c>
      <c r="AF434" s="242" t="s">
        <v>754</v>
      </c>
      <c r="AG434" s="240">
        <v>500469</v>
      </c>
    </row>
    <row r="435" spans="30:33">
      <c r="AD435" s="17" t="s">
        <v>295</v>
      </c>
      <c r="AE435" s="240">
        <v>500247</v>
      </c>
      <c r="AF435" s="242" t="s">
        <v>757</v>
      </c>
      <c r="AG435" s="240">
        <v>500247</v>
      </c>
    </row>
    <row r="436" spans="30:33">
      <c r="AD436" s="17" t="s">
        <v>257</v>
      </c>
      <c r="AE436" s="1">
        <v>532210</v>
      </c>
      <c r="AF436" s="242" t="s">
        <v>746</v>
      </c>
      <c r="AG436" s="1">
        <v>532210</v>
      </c>
    </row>
    <row r="437" spans="30:33">
      <c r="AD437" s="17" t="s">
        <v>256</v>
      </c>
      <c r="AE437" s="240">
        <v>532180</v>
      </c>
      <c r="AF437" s="242" t="s">
        <v>750</v>
      </c>
      <c r="AG437" s="240">
        <v>532180</v>
      </c>
    </row>
    <row r="438" spans="30:33">
      <c r="AD438" s="17" t="s">
        <v>255</v>
      </c>
      <c r="AE438" s="240">
        <v>532149</v>
      </c>
      <c r="AF438" s="242" t="s">
        <v>742</v>
      </c>
      <c r="AG438" s="240">
        <v>532149</v>
      </c>
    </row>
    <row r="439" spans="30:33">
      <c r="AD439" s="17" t="s">
        <v>318</v>
      </c>
      <c r="AE439" s="240">
        <v>532388</v>
      </c>
      <c r="AF439" s="242" t="s">
        <v>1020</v>
      </c>
      <c r="AG439" s="240">
        <v>532388</v>
      </c>
    </row>
    <row r="440" spans="30:33">
      <c r="AD440" s="17" t="s">
        <v>346</v>
      </c>
      <c r="AE440" s="240">
        <v>532121</v>
      </c>
      <c r="AF440" s="242" t="s">
        <v>1030</v>
      </c>
      <c r="AG440" s="240">
        <v>532121</v>
      </c>
    </row>
    <row r="441" spans="30:33">
      <c r="AD441" s="17" t="s">
        <v>345</v>
      </c>
      <c r="AE441" s="240">
        <v>507435</v>
      </c>
      <c r="AF441" s="242" t="s">
        <v>1036</v>
      </c>
      <c r="AG441" s="240">
        <v>507435</v>
      </c>
    </row>
    <row r="442" spans="30:33">
      <c r="AD442" s="17" t="s">
        <v>294</v>
      </c>
      <c r="AE442" s="240">
        <v>532756</v>
      </c>
      <c r="AF442" s="242" t="s">
        <v>1193</v>
      </c>
      <c r="AG442" s="240">
        <v>532756</v>
      </c>
    </row>
    <row r="443" spans="30:33">
      <c r="AD443" s="17" t="s">
        <v>254</v>
      </c>
      <c r="AE443" s="240">
        <v>500410</v>
      </c>
      <c r="AF443" s="242" t="s">
        <v>730</v>
      </c>
      <c r="AG443" s="240">
        <v>500410</v>
      </c>
    </row>
    <row r="444" spans="30:33">
      <c r="AD444" s="17" t="s">
        <v>344</v>
      </c>
      <c r="AE444" s="240">
        <v>500335</v>
      </c>
      <c r="AF444" s="242" t="s">
        <v>723</v>
      </c>
      <c r="AG444" s="240">
        <v>500335</v>
      </c>
    </row>
    <row r="445" spans="30:33">
      <c r="AD445" s="17" t="s">
        <v>343</v>
      </c>
      <c r="AE445" s="240">
        <v>526521</v>
      </c>
      <c r="AF445" s="242" t="s">
        <v>1040</v>
      </c>
      <c r="AG445" s="240">
        <v>526521</v>
      </c>
    </row>
    <row r="446" spans="30:33">
      <c r="AD446" s="17" t="s">
        <v>293</v>
      </c>
      <c r="AE446" s="240">
        <v>502420</v>
      </c>
      <c r="AF446" s="242" t="s">
        <v>507</v>
      </c>
      <c r="AG446" s="240">
        <v>502420</v>
      </c>
    </row>
    <row r="447" spans="30:33">
      <c r="AD447" s="17" t="s">
        <v>342</v>
      </c>
      <c r="AE447" s="240">
        <v>531548</v>
      </c>
      <c r="AF447" s="242" t="s">
        <v>1047</v>
      </c>
      <c r="AG447" s="240">
        <v>531548</v>
      </c>
    </row>
    <row r="448" spans="30:33">
      <c r="AD448" s="17" t="s">
        <v>315</v>
      </c>
      <c r="AE448" s="240">
        <v>506390</v>
      </c>
      <c r="AF448" s="242" t="s">
        <v>1310</v>
      </c>
      <c r="AG448" s="240">
        <v>506390</v>
      </c>
    </row>
    <row r="449" spans="30:33">
      <c r="AD449" s="17" t="s">
        <v>292</v>
      </c>
      <c r="AE449" s="240">
        <v>534312</v>
      </c>
      <c r="AF449" s="242" t="s">
        <v>970</v>
      </c>
      <c r="AG449" s="240">
        <v>534312</v>
      </c>
    </row>
    <row r="450" spans="30:33">
      <c r="AD450" s="17" t="s">
        <v>312</v>
      </c>
      <c r="AE450" s="240">
        <v>532475</v>
      </c>
      <c r="AF450" s="242" t="s">
        <v>1051</v>
      </c>
      <c r="AG450" s="240">
        <v>532475</v>
      </c>
    </row>
    <row r="451" spans="30:33">
      <c r="AD451" s="17" t="s">
        <v>291</v>
      </c>
      <c r="AE451" s="240">
        <v>532281</v>
      </c>
      <c r="AF451" s="242" t="s">
        <v>701</v>
      </c>
      <c r="AG451" s="240">
        <v>532281</v>
      </c>
    </row>
    <row r="452" spans="30:33">
      <c r="AD452" s="17" t="s">
        <v>269</v>
      </c>
      <c r="AE452" s="240">
        <v>533179</v>
      </c>
      <c r="AF452" s="242" t="s">
        <v>691</v>
      </c>
      <c r="AG452" s="240">
        <v>533179</v>
      </c>
    </row>
    <row r="453" spans="30:33">
      <c r="AD453" s="17" t="s">
        <v>252</v>
      </c>
      <c r="AE453" s="240">
        <v>511421</v>
      </c>
      <c r="AF453" s="242" t="s">
        <v>1056</v>
      </c>
      <c r="AG453" s="240">
        <v>511421</v>
      </c>
    </row>
    <row r="454" spans="30:33">
      <c r="AD454" s="17" t="s">
        <v>251</v>
      </c>
      <c r="AE454" s="240">
        <v>512379</v>
      </c>
      <c r="AF454" s="242" t="s">
        <v>694</v>
      </c>
      <c r="AG454" s="240">
        <v>512379</v>
      </c>
    </row>
    <row r="455" spans="30:33">
      <c r="AD455" s="17" t="s">
        <v>250</v>
      </c>
      <c r="AE455" s="240">
        <v>523838</v>
      </c>
      <c r="AF455" s="242" t="s">
        <v>1062</v>
      </c>
      <c r="AG455" s="240">
        <v>523838</v>
      </c>
    </row>
    <row r="456" spans="30:33">
      <c r="AD456" s="17" t="s">
        <v>311</v>
      </c>
      <c r="AE456" s="240">
        <v>532930</v>
      </c>
      <c r="AF456" s="242" t="s">
        <v>625</v>
      </c>
      <c r="AG456" s="240">
        <v>532930</v>
      </c>
    </row>
    <row r="457" spans="30:33">
      <c r="AD457" s="17" t="s">
        <v>630</v>
      </c>
      <c r="AE457" s="240">
        <v>532891</v>
      </c>
      <c r="AF457" s="242" t="s">
        <v>663</v>
      </c>
      <c r="AG457" s="240">
        <v>532891</v>
      </c>
    </row>
    <row r="458" spans="30:33">
      <c r="AD458" s="17" t="s">
        <v>288</v>
      </c>
      <c r="AE458" s="240">
        <v>532929</v>
      </c>
      <c r="AF458" s="242" t="s">
        <v>671</v>
      </c>
      <c r="AG458" s="240">
        <v>532929</v>
      </c>
    </row>
    <row r="459" spans="30:33">
      <c r="AD459" s="17" t="s">
        <v>310</v>
      </c>
      <c r="AE459" s="242">
        <v>532780</v>
      </c>
      <c r="AF459" s="242" t="s">
        <v>653</v>
      </c>
      <c r="AG459" s="242">
        <v>532780</v>
      </c>
    </row>
    <row r="460" spans="30:33">
      <c r="AD460" s="17" t="s">
        <v>341</v>
      </c>
      <c r="AE460" s="242">
        <v>505726</v>
      </c>
      <c r="AF460" s="242" t="s">
        <v>1078</v>
      </c>
      <c r="AG460" s="242">
        <v>505726</v>
      </c>
    </row>
    <row r="461" spans="30:33">
      <c r="AD461" s="17" t="s">
        <v>244</v>
      </c>
      <c r="AE461" s="240">
        <v>500139</v>
      </c>
      <c r="AF461" s="242" t="s">
        <v>1081</v>
      </c>
      <c r="AG461" s="240">
        <v>500139</v>
      </c>
    </row>
    <row r="462" spans="30:33">
      <c r="AD462" s="17" t="s">
        <v>598</v>
      </c>
      <c r="AE462" s="240">
        <v>532953</v>
      </c>
      <c r="AF462" s="242" t="s">
        <v>641</v>
      </c>
      <c r="AG462" s="240">
        <v>532953</v>
      </c>
    </row>
    <row r="463" spans="30:33">
      <c r="AD463" s="17" t="s">
        <v>267</v>
      </c>
      <c r="AE463" s="240">
        <v>522205</v>
      </c>
      <c r="AF463" s="242" t="s">
        <v>628</v>
      </c>
      <c r="AG463" s="240">
        <v>522205</v>
      </c>
    </row>
    <row r="464" spans="30:33">
      <c r="AD464" s="17" t="s">
        <v>287</v>
      </c>
      <c r="AE464" s="240">
        <v>513250</v>
      </c>
      <c r="AF464" s="242" t="s">
        <v>987</v>
      </c>
      <c r="AG464" s="240">
        <v>513250</v>
      </c>
    </row>
    <row r="465" spans="30:33">
      <c r="AD465" s="17" t="s">
        <v>266</v>
      </c>
      <c r="AE465" s="240">
        <v>517041</v>
      </c>
      <c r="AF465" s="242" t="s">
        <v>957</v>
      </c>
      <c r="AG465" s="240">
        <v>517041</v>
      </c>
    </row>
    <row r="466" spans="30:33">
      <c r="AD466" s="17" t="s">
        <v>242</v>
      </c>
      <c r="AE466" s="240">
        <v>505242</v>
      </c>
      <c r="AF466" s="242" t="s">
        <v>1087</v>
      </c>
      <c r="AG466" s="240">
        <v>505242</v>
      </c>
    </row>
    <row r="467" spans="30:33">
      <c r="AD467" s="17" t="s">
        <v>339</v>
      </c>
      <c r="AE467" s="240">
        <v>523236</v>
      </c>
      <c r="AF467" s="242" t="s">
        <v>1091</v>
      </c>
      <c r="AG467" s="240">
        <v>523236</v>
      </c>
    </row>
    <row r="468" spans="30:33">
      <c r="AD468" s="17" t="s">
        <v>338</v>
      </c>
      <c r="AE468" s="240">
        <v>532748</v>
      </c>
      <c r="AF468" s="242" t="s">
        <v>609</v>
      </c>
      <c r="AG468" s="240">
        <v>532748</v>
      </c>
    </row>
    <row r="469" spans="30:33">
      <c r="AD469" s="17" t="s">
        <v>265</v>
      </c>
      <c r="AE469" s="240">
        <v>500407</v>
      </c>
      <c r="AF469" s="242" t="s">
        <v>1093</v>
      </c>
      <c r="AG469" s="240">
        <v>500407</v>
      </c>
    </row>
    <row r="470" spans="30:33">
      <c r="AD470" s="17" t="s">
        <v>285</v>
      </c>
      <c r="AE470" s="240">
        <v>532800</v>
      </c>
      <c r="AF470" s="242" t="s">
        <v>604</v>
      </c>
      <c r="AG470" s="240">
        <v>532800</v>
      </c>
    </row>
    <row r="471" spans="30:33">
      <c r="AD471" s="17" t="s">
        <v>539</v>
      </c>
      <c r="AE471" s="240">
        <v>532795</v>
      </c>
      <c r="AF471" s="242" t="s">
        <v>608</v>
      </c>
      <c r="AG471" s="240">
        <v>532795</v>
      </c>
    </row>
    <row r="472" spans="30:33">
      <c r="AD472" s="17" t="s">
        <v>336</v>
      </c>
      <c r="AE472" s="240">
        <v>524230</v>
      </c>
      <c r="AF472" s="242" t="s">
        <v>593</v>
      </c>
      <c r="AG472" s="240">
        <v>524230</v>
      </c>
    </row>
    <row r="473" spans="30:33">
      <c r="AD473" s="17" t="s">
        <v>284</v>
      </c>
      <c r="AE473" s="240">
        <v>500645</v>
      </c>
      <c r="AF473" s="242" t="s">
        <v>596</v>
      </c>
      <c r="AG473" s="240">
        <v>500645</v>
      </c>
    </row>
    <row r="474" spans="30:33">
      <c r="AD474" s="17" t="s">
        <v>531</v>
      </c>
      <c r="AE474" s="240">
        <v>500034</v>
      </c>
      <c r="AF474" s="242" t="s">
        <v>582</v>
      </c>
      <c r="AG474" s="240">
        <v>500034</v>
      </c>
    </row>
    <row r="475" spans="30:33">
      <c r="AD475" s="17" t="s">
        <v>335</v>
      </c>
      <c r="AE475" s="240">
        <v>538180</v>
      </c>
      <c r="AF475" s="242" t="s">
        <v>1099</v>
      </c>
      <c r="AG475" s="240">
        <v>538180</v>
      </c>
    </row>
    <row r="476" spans="30:33">
      <c r="AD476" s="17" t="s">
        <v>527</v>
      </c>
      <c r="AE476" s="240">
        <v>531595</v>
      </c>
      <c r="AF476" s="242" t="s">
        <v>1104</v>
      </c>
      <c r="AG476" s="240">
        <v>531595</v>
      </c>
    </row>
    <row r="477" spans="30:33">
      <c r="AD477" s="17" t="s">
        <v>333</v>
      </c>
      <c r="AE477" s="240">
        <v>535322</v>
      </c>
      <c r="AF477" s="242" t="s">
        <v>577</v>
      </c>
      <c r="AG477" s="240">
        <v>535322</v>
      </c>
    </row>
    <row r="478" spans="30:33">
      <c r="AD478" s="17" t="s">
        <v>309</v>
      </c>
      <c r="AE478" s="240">
        <v>532978</v>
      </c>
      <c r="AF478" s="242" t="s">
        <v>572</v>
      </c>
      <c r="AG478" s="240">
        <v>532978</v>
      </c>
    </row>
    <row r="479" spans="30:33">
      <c r="AD479" s="17" t="s">
        <v>332</v>
      </c>
      <c r="AE479" s="240">
        <v>534060</v>
      </c>
      <c r="AF479" s="242" t="s">
        <v>1107</v>
      </c>
      <c r="AG479" s="240">
        <v>534060</v>
      </c>
    </row>
    <row r="480" spans="30:33">
      <c r="AD480" s="17" t="s">
        <v>331</v>
      </c>
      <c r="AE480" s="240">
        <v>501301</v>
      </c>
      <c r="AF480" s="242" t="s">
        <v>569</v>
      </c>
      <c r="AG480" s="240">
        <v>501301</v>
      </c>
    </row>
    <row r="481" spans="30:33">
      <c r="AD481" s="17" t="s">
        <v>308</v>
      </c>
      <c r="AE481" s="240">
        <v>512113</v>
      </c>
      <c r="AF481" s="242" t="s">
        <v>1114</v>
      </c>
      <c r="AG481" s="240">
        <v>512113</v>
      </c>
    </row>
    <row r="482" spans="30:33">
      <c r="AD482" s="17" t="s">
        <v>282</v>
      </c>
      <c r="AE482" s="240">
        <v>512131</v>
      </c>
      <c r="AF482" s="242" t="s">
        <v>1122</v>
      </c>
      <c r="AG482" s="240">
        <v>512131</v>
      </c>
    </row>
    <row r="483" spans="30:33">
      <c r="AD483" s="17" t="s">
        <v>281</v>
      </c>
      <c r="AE483" s="240">
        <v>530813</v>
      </c>
      <c r="AF483" s="242" t="s">
        <v>1127</v>
      </c>
      <c r="AG483" s="240">
        <v>530813</v>
      </c>
    </row>
    <row r="484" spans="30:33">
      <c r="AD484" s="17" t="s">
        <v>264</v>
      </c>
      <c r="AE484" s="240">
        <v>531882</v>
      </c>
      <c r="AF484" s="242" t="s">
        <v>1130</v>
      </c>
      <c r="AG484" s="240">
        <v>531882</v>
      </c>
    </row>
    <row r="485" spans="30:33">
      <c r="AD485" s="17" t="s">
        <v>280</v>
      </c>
      <c r="AE485" s="240">
        <v>519373</v>
      </c>
      <c r="AF485" s="242" t="s">
        <v>1134</v>
      </c>
      <c r="AG485" s="240">
        <v>519373</v>
      </c>
    </row>
    <row r="486" spans="30:33">
      <c r="AD486" s="17" t="s">
        <v>279</v>
      </c>
      <c r="AE486" s="240">
        <v>500193</v>
      </c>
      <c r="AF486" s="242" t="s">
        <v>536</v>
      </c>
      <c r="AG486" s="240">
        <v>500193</v>
      </c>
    </row>
    <row r="487" spans="30:33">
      <c r="AD487" s="17" t="s">
        <v>307</v>
      </c>
      <c r="AE487" s="240">
        <v>532949</v>
      </c>
      <c r="AF487" s="242" t="s">
        <v>1143</v>
      </c>
      <c r="AG487" s="240">
        <v>532949</v>
      </c>
    </row>
    <row r="488" spans="30:33">
      <c r="AD488" s="17" t="s">
        <v>276</v>
      </c>
      <c r="AE488" s="240">
        <v>504918</v>
      </c>
      <c r="AF488" s="242" t="s">
        <v>1153</v>
      </c>
      <c r="AG488" s="240">
        <v>504918</v>
      </c>
    </row>
    <row r="489" spans="30:33">
      <c r="AD489" s="17" t="s">
        <v>414</v>
      </c>
      <c r="AE489" s="240">
        <v>513142</v>
      </c>
      <c r="AF489" s="242" t="s">
        <v>1156</v>
      </c>
      <c r="AG489" s="240">
        <v>513142</v>
      </c>
    </row>
    <row r="490" spans="30:33">
      <c r="AD490" s="17" t="s">
        <v>275</v>
      </c>
      <c r="AE490" s="240">
        <v>511034</v>
      </c>
      <c r="AF490" s="242" t="s">
        <v>1160</v>
      </c>
      <c r="AG490" s="240">
        <v>511034</v>
      </c>
    </row>
    <row r="491" spans="30:33">
      <c r="AD491" s="17" t="s">
        <v>301</v>
      </c>
      <c r="AE491" s="242">
        <v>532162</v>
      </c>
      <c r="AF491" s="242" t="s">
        <v>1162</v>
      </c>
      <c r="AG491" s="242">
        <v>532162</v>
      </c>
    </row>
    <row r="492" spans="30:33">
      <c r="AD492" s="17" t="s">
        <v>300</v>
      </c>
      <c r="AE492" s="242">
        <v>531642</v>
      </c>
      <c r="AF492" s="242" t="s">
        <v>503</v>
      </c>
      <c r="AG492" s="242">
        <v>531642</v>
      </c>
    </row>
    <row r="493" spans="30:33">
      <c r="AD493" s="17" t="s">
        <v>329</v>
      </c>
      <c r="AE493" s="242">
        <v>533229</v>
      </c>
      <c r="AF493" s="242" t="s">
        <v>498</v>
      </c>
      <c r="AG493" s="242">
        <v>533229</v>
      </c>
    </row>
    <row r="494" spans="30:33">
      <c r="AD494" s="17" t="s">
        <v>299</v>
      </c>
      <c r="AE494" s="242">
        <v>532511</v>
      </c>
      <c r="AF494" s="242" t="s">
        <v>1164</v>
      </c>
      <c r="AG494" s="242">
        <v>532511</v>
      </c>
    </row>
    <row r="495" spans="30:33">
      <c r="AD495" s="17" t="s">
        <v>273</v>
      </c>
      <c r="AE495" s="240">
        <v>500087</v>
      </c>
      <c r="AF495" s="242" t="s">
        <v>461</v>
      </c>
      <c r="AG495" s="240">
        <v>500087</v>
      </c>
    </row>
    <row r="496" spans="30:33">
      <c r="AD496" s="17" t="s">
        <v>328</v>
      </c>
      <c r="AE496" s="240">
        <v>500660</v>
      </c>
      <c r="AF496" s="242" t="s">
        <v>462</v>
      </c>
      <c r="AG496" s="240">
        <v>500660</v>
      </c>
    </row>
    <row r="497" spans="30:33">
      <c r="AD497" s="17" t="s">
        <v>327</v>
      </c>
      <c r="AE497" s="242">
        <v>500674</v>
      </c>
      <c r="AF497" s="242" t="s">
        <v>471</v>
      </c>
      <c r="AG497" s="242">
        <v>500674</v>
      </c>
    </row>
    <row r="498" spans="30:33">
      <c r="AD498" s="17" t="s">
        <v>367</v>
      </c>
      <c r="AE498" s="242">
        <v>500680</v>
      </c>
      <c r="AF498" s="242" t="s">
        <v>474</v>
      </c>
      <c r="AG498" s="242">
        <v>500680</v>
      </c>
    </row>
    <row r="499" spans="30:33">
      <c r="AD499" s="17" t="s">
        <v>365</v>
      </c>
      <c r="AE499" s="242">
        <v>500095</v>
      </c>
      <c r="AF499" s="242" t="s">
        <v>482</v>
      </c>
      <c r="AG499" s="242">
        <v>500095</v>
      </c>
    </row>
    <row r="500" spans="30:33">
      <c r="AD500" s="17" t="s">
        <v>326</v>
      </c>
      <c r="AE500" s="242">
        <v>532526</v>
      </c>
      <c r="AF500" s="242" t="s">
        <v>488</v>
      </c>
      <c r="AG500" s="242">
        <v>532526</v>
      </c>
    </row>
    <row r="501" spans="30:33">
      <c r="AD501" s="17" t="s">
        <v>246</v>
      </c>
      <c r="AE501" s="240">
        <v>524372</v>
      </c>
      <c r="AF501" s="242" t="s">
        <v>490</v>
      </c>
      <c r="AG501" s="240">
        <v>524372</v>
      </c>
    </row>
    <row r="502" spans="30:33">
      <c r="AD502" s="17" t="s">
        <v>325</v>
      </c>
      <c r="AE502" s="240">
        <v>500219</v>
      </c>
      <c r="AF502" s="242" t="s">
        <v>456</v>
      </c>
      <c r="AG502" s="240">
        <v>500219</v>
      </c>
    </row>
    <row r="503" spans="30:33">
      <c r="AD503" s="17" t="s">
        <v>298</v>
      </c>
      <c r="AE503" s="240">
        <v>532856</v>
      </c>
      <c r="AF503" s="242" t="s">
        <v>453</v>
      </c>
      <c r="AG503" s="240">
        <v>532856</v>
      </c>
    </row>
    <row r="504" spans="30:33">
      <c r="AD504" s="17" t="s">
        <v>920</v>
      </c>
      <c r="AE504" s="240">
        <v>533148</v>
      </c>
      <c r="AF504" s="242" t="s">
        <v>440</v>
      </c>
      <c r="AG504" s="240">
        <v>533148</v>
      </c>
    </row>
    <row r="505" spans="30:33">
      <c r="AD505" s="17" t="s">
        <v>922</v>
      </c>
      <c r="AE505" s="240">
        <v>533122</v>
      </c>
      <c r="AF505" s="242" t="s">
        <v>433</v>
      </c>
      <c r="AG505" s="240">
        <v>533122</v>
      </c>
    </row>
    <row r="506" spans="30:33">
      <c r="AD506" s="17" t="s">
        <v>923</v>
      </c>
      <c r="AE506" s="240">
        <v>533263</v>
      </c>
      <c r="AF506" s="242" t="s">
        <v>1178</v>
      </c>
      <c r="AG506" s="240">
        <v>533263</v>
      </c>
    </row>
    <row r="507" spans="30:33">
      <c r="AD507" s="17" t="s">
        <v>925</v>
      </c>
      <c r="AE507" s="240">
        <v>501848</v>
      </c>
      <c r="AF507" s="242" t="s">
        <v>1180</v>
      </c>
      <c r="AG507" s="240">
        <v>501848</v>
      </c>
    </row>
    <row r="508" spans="30:33">
      <c r="AD508" s="17" t="s">
        <v>930</v>
      </c>
      <c r="AE508" s="240">
        <v>532786</v>
      </c>
      <c r="AF508" s="242" t="s">
        <v>1182</v>
      </c>
      <c r="AG508" s="240">
        <v>532786</v>
      </c>
    </row>
    <row r="509" spans="30:33">
      <c r="AD509" s="17" t="s">
        <v>949</v>
      </c>
      <c r="AE509" s="240">
        <v>500110</v>
      </c>
      <c r="AF509" s="242" t="s">
        <v>425</v>
      </c>
      <c r="AG509" s="240">
        <v>500110</v>
      </c>
    </row>
    <row r="510" spans="30:33">
      <c r="AD510" s="17" t="s">
        <v>951</v>
      </c>
      <c r="AE510" s="240">
        <v>536507</v>
      </c>
      <c r="AF510" s="242" t="s">
        <v>960</v>
      </c>
      <c r="AG510" s="240">
        <v>536507</v>
      </c>
    </row>
    <row r="511" spans="30:33">
      <c r="AD511" s="17" t="s">
        <v>952</v>
      </c>
      <c r="AE511" s="240">
        <v>532286</v>
      </c>
      <c r="AF511" s="242" t="s">
        <v>409</v>
      </c>
      <c r="AG511" s="240">
        <v>532286</v>
      </c>
    </row>
    <row r="512" spans="30:33">
      <c r="AD512" s="17" t="s">
        <v>953</v>
      </c>
      <c r="AE512" s="240">
        <v>500265</v>
      </c>
      <c r="AF512" s="242" t="s">
        <v>398</v>
      </c>
      <c r="AG512" s="240">
        <v>500265</v>
      </c>
    </row>
    <row r="513" spans="30:33">
      <c r="AD513" s="17" t="s">
        <v>954</v>
      </c>
      <c r="AE513" s="240">
        <v>513010</v>
      </c>
      <c r="AF513" s="242" t="s">
        <v>945</v>
      </c>
      <c r="AG513" s="240">
        <v>513010</v>
      </c>
    </row>
    <row r="514" spans="30:33">
      <c r="AD514" s="17" t="s">
        <v>955</v>
      </c>
      <c r="AE514" s="240">
        <v>513446</v>
      </c>
      <c r="AF514" s="242" t="s">
        <v>404</v>
      </c>
      <c r="AG514" s="240">
        <v>513446</v>
      </c>
    </row>
    <row r="515" spans="30:33">
      <c r="AD515" s="17" t="s">
        <v>1195</v>
      </c>
      <c r="AE515" s="240">
        <v>500032</v>
      </c>
      <c r="AF515" s="242" t="s">
        <v>397</v>
      </c>
      <c r="AG515" s="240">
        <v>500032</v>
      </c>
    </row>
    <row r="516" spans="30:33">
      <c r="AD516" s="17" t="s">
        <v>1199</v>
      </c>
      <c r="AE516" s="240">
        <v>500483</v>
      </c>
      <c r="AF516" s="242" t="s">
        <v>390</v>
      </c>
      <c r="AG516" s="240">
        <v>500483</v>
      </c>
    </row>
    <row r="517" spans="30:33">
      <c r="AD517" s="17" t="s">
        <v>1203</v>
      </c>
      <c r="AE517" s="240">
        <v>512531</v>
      </c>
      <c r="AF517" s="242" t="s">
        <v>375</v>
      </c>
      <c r="AG517" s="240">
        <v>512531</v>
      </c>
    </row>
    <row r="518" spans="30:33">
      <c r="AD518" s="17" t="s">
        <v>1215</v>
      </c>
      <c r="AE518" s="240">
        <v>500878</v>
      </c>
      <c r="AF518" s="242" t="s">
        <v>963</v>
      </c>
      <c r="AG518" s="240">
        <v>500878</v>
      </c>
    </row>
    <row r="519" spans="30:33">
      <c r="AD519" s="17" t="s">
        <v>1221</v>
      </c>
      <c r="AE519" s="240">
        <v>514162</v>
      </c>
      <c r="AF519" s="242" t="s">
        <v>946</v>
      </c>
      <c r="AG519" s="240">
        <v>514162</v>
      </c>
    </row>
    <row r="520" spans="30:33">
      <c r="AD520" s="17" t="s">
        <v>1222</v>
      </c>
      <c r="AE520" s="240">
        <v>521070</v>
      </c>
      <c r="AF520" s="242" t="s">
        <v>354</v>
      </c>
      <c r="AG520" s="240">
        <v>521070</v>
      </c>
    </row>
    <row r="521" spans="30:33">
      <c r="AD521" s="17" t="s">
        <v>1224</v>
      </c>
      <c r="AE521" s="240">
        <v>533343</v>
      </c>
      <c r="AF521" s="242" t="s">
        <v>364</v>
      </c>
      <c r="AG521" s="240">
        <v>533343</v>
      </c>
    </row>
    <row r="522" spans="30:33">
      <c r="AD522" s="17" t="s">
        <v>272</v>
      </c>
      <c r="AE522" s="240">
        <v>500247</v>
      </c>
      <c r="AF522" s="242" t="s">
        <v>757</v>
      </c>
      <c r="AG522" s="240">
        <v>500247</v>
      </c>
    </row>
    <row r="523" spans="30:33">
      <c r="AD523" s="17" t="s">
        <v>295</v>
      </c>
      <c r="AE523" s="242">
        <v>590003</v>
      </c>
      <c r="AF523" s="242" t="s">
        <v>928</v>
      </c>
      <c r="AG523" s="242">
        <v>590003</v>
      </c>
    </row>
    <row r="524" spans="30:33">
      <c r="AD524" s="17" t="s">
        <v>257</v>
      </c>
      <c r="AE524" s="240">
        <v>532218</v>
      </c>
      <c r="AF524" s="242" t="s">
        <v>745</v>
      </c>
      <c r="AG524" s="240">
        <v>532218</v>
      </c>
    </row>
    <row r="525" spans="30:33">
      <c r="AD525" s="17" t="s">
        <v>255</v>
      </c>
      <c r="AE525" s="240">
        <v>532477</v>
      </c>
      <c r="AF525" s="242" t="s">
        <v>744</v>
      </c>
      <c r="AG525" s="240">
        <v>532477</v>
      </c>
    </row>
    <row r="526" spans="30:33">
      <c r="AD526" s="17" t="s">
        <v>318</v>
      </c>
      <c r="AE526" s="240">
        <v>532814</v>
      </c>
      <c r="AF526" s="242" t="s">
        <v>1021</v>
      </c>
      <c r="AG526" s="240">
        <v>532814</v>
      </c>
    </row>
    <row r="527" spans="30:33">
      <c r="AD527" s="17" t="s">
        <v>346</v>
      </c>
      <c r="AE527" s="240">
        <v>533171</v>
      </c>
      <c r="AF527" s="242" t="s">
        <v>1031</v>
      </c>
      <c r="AG527" s="240">
        <v>533171</v>
      </c>
    </row>
    <row r="528" spans="30:33">
      <c r="AD528" s="17" t="s">
        <v>294</v>
      </c>
      <c r="AE528" s="240">
        <v>522285</v>
      </c>
      <c r="AF528" s="242" t="s">
        <v>932</v>
      </c>
      <c r="AG528" s="240">
        <v>522285</v>
      </c>
    </row>
    <row r="529" spans="30:33">
      <c r="AD529" s="17" t="s">
        <v>344</v>
      </c>
      <c r="AE529" s="240">
        <v>532644</v>
      </c>
      <c r="AF529" s="242" t="s">
        <v>726</v>
      </c>
      <c r="AG529" s="240">
        <v>532644</v>
      </c>
    </row>
    <row r="530" spans="30:33">
      <c r="AD530" s="17" t="s">
        <v>343</v>
      </c>
      <c r="AE530" s="240">
        <v>536666</v>
      </c>
      <c r="AF530" s="242" t="s">
        <v>1041</v>
      </c>
      <c r="AG530" s="240">
        <v>536666</v>
      </c>
    </row>
    <row r="531" spans="30:33">
      <c r="AD531" s="17" t="s">
        <v>293</v>
      </c>
      <c r="AE531" s="242">
        <v>502090</v>
      </c>
      <c r="AF531" s="242" t="s">
        <v>1043</v>
      </c>
      <c r="AG531" s="242">
        <v>502090</v>
      </c>
    </row>
    <row r="532" spans="30:33">
      <c r="AD532" s="17" t="s">
        <v>315</v>
      </c>
      <c r="AE532" s="242">
        <v>500042</v>
      </c>
      <c r="AF532" s="242" t="s">
        <v>1229</v>
      </c>
      <c r="AG532" s="242">
        <v>500042</v>
      </c>
    </row>
    <row r="533" spans="30:33">
      <c r="AD533" s="17" t="s">
        <v>312</v>
      </c>
      <c r="AE533" s="242">
        <v>512199</v>
      </c>
      <c r="AF533" s="242" t="s">
        <v>707</v>
      </c>
      <c r="AG533" s="242">
        <v>512199</v>
      </c>
    </row>
    <row r="534" spans="30:33">
      <c r="AD534" s="17" t="s">
        <v>269</v>
      </c>
      <c r="AE534" s="240">
        <v>532129</v>
      </c>
      <c r="AF534" s="242" t="s">
        <v>688</v>
      </c>
      <c r="AG534" s="240">
        <v>532129</v>
      </c>
    </row>
    <row r="535" spans="30:33">
      <c r="AD535" s="17" t="s">
        <v>252</v>
      </c>
      <c r="AE535" s="1">
        <v>532541</v>
      </c>
      <c r="AF535" s="242" t="s">
        <v>693</v>
      </c>
      <c r="AG535" s="1">
        <v>532541</v>
      </c>
    </row>
    <row r="536" spans="30:33">
      <c r="AD536" s="17" t="s">
        <v>251</v>
      </c>
      <c r="AE536" s="240">
        <v>526881</v>
      </c>
      <c r="AF536" s="242" t="s">
        <v>1060</v>
      </c>
      <c r="AG536" s="240">
        <v>526881</v>
      </c>
    </row>
    <row r="537" spans="30:33">
      <c r="AD537" s="17" t="s">
        <v>250</v>
      </c>
      <c r="AE537" s="240">
        <v>532693</v>
      </c>
      <c r="AF537" s="242" t="s">
        <v>678</v>
      </c>
      <c r="AG537" s="240">
        <v>532693</v>
      </c>
    </row>
    <row r="538" spans="30:33">
      <c r="AD538" s="17" t="s">
        <v>311</v>
      </c>
      <c r="AE538" s="240">
        <v>538287</v>
      </c>
      <c r="AF538" s="242" t="s">
        <v>1067</v>
      </c>
      <c r="AG538" s="240">
        <v>538287</v>
      </c>
    </row>
    <row r="539" spans="30:33">
      <c r="AD539" s="17" t="s">
        <v>630</v>
      </c>
      <c r="AE539" s="240">
        <v>532313</v>
      </c>
      <c r="AF539" s="242" t="s">
        <v>665</v>
      </c>
      <c r="AG539" s="240">
        <v>532313</v>
      </c>
    </row>
    <row r="540" spans="30:33">
      <c r="AD540" s="17" t="s">
        <v>288</v>
      </c>
      <c r="AE540" s="242">
        <v>500307</v>
      </c>
      <c r="AF540" s="242" t="s">
        <v>1070</v>
      </c>
      <c r="AG540" s="242">
        <v>500307</v>
      </c>
    </row>
    <row r="541" spans="30:33">
      <c r="AD541" s="17" t="s">
        <v>310</v>
      </c>
      <c r="AE541" s="242">
        <v>512179</v>
      </c>
      <c r="AF541" s="242" t="s">
        <v>651</v>
      </c>
      <c r="AG541" s="242">
        <v>512179</v>
      </c>
    </row>
    <row r="542" spans="30:33">
      <c r="AD542" s="17" t="s">
        <v>244</v>
      </c>
      <c r="AE542" s="242">
        <v>500575</v>
      </c>
      <c r="AF542" s="242" t="s">
        <v>645</v>
      </c>
      <c r="AG542" s="242">
        <v>500575</v>
      </c>
    </row>
    <row r="543" spans="30:33">
      <c r="AD543" s="17" t="s">
        <v>598</v>
      </c>
      <c r="AE543" s="242">
        <v>533281</v>
      </c>
      <c r="AF543" s="242" t="s">
        <v>644</v>
      </c>
      <c r="AG543" s="242">
        <v>533281</v>
      </c>
    </row>
    <row r="544" spans="30:33">
      <c r="AD544" s="17" t="s">
        <v>267</v>
      </c>
      <c r="AE544" s="240">
        <v>532966</v>
      </c>
      <c r="AF544" s="242" t="s">
        <v>626</v>
      </c>
      <c r="AG544" s="240">
        <v>532966</v>
      </c>
    </row>
    <row r="545" spans="30:33">
      <c r="AD545" s="17" t="s">
        <v>339</v>
      </c>
      <c r="AE545" s="240">
        <v>532715</v>
      </c>
      <c r="AF545" s="242" t="s">
        <v>614</v>
      </c>
      <c r="AG545" s="240">
        <v>532715</v>
      </c>
    </row>
    <row r="546" spans="30:33">
      <c r="AD546" s="17" t="s">
        <v>285</v>
      </c>
      <c r="AE546" s="240">
        <v>532705</v>
      </c>
      <c r="AF546" s="242" t="s">
        <v>429</v>
      </c>
      <c r="AG546" s="240">
        <v>532705</v>
      </c>
    </row>
    <row r="547" spans="30:33">
      <c r="AD547" s="17" t="s">
        <v>539</v>
      </c>
      <c r="AE547" s="240">
        <v>532515</v>
      </c>
      <c r="AF547" s="242" t="s">
        <v>1094</v>
      </c>
      <c r="AG547" s="240">
        <v>532515</v>
      </c>
    </row>
    <row r="548" spans="30:33">
      <c r="AD548" s="17" t="s">
        <v>284</v>
      </c>
      <c r="AE548" s="242">
        <v>500670</v>
      </c>
      <c r="AF548" s="242" t="s">
        <v>597</v>
      </c>
      <c r="AG548" s="242">
        <v>500670</v>
      </c>
    </row>
    <row r="549" spans="30:33">
      <c r="AD549" s="17" t="s">
        <v>531</v>
      </c>
      <c r="AE549" s="242">
        <v>532498</v>
      </c>
      <c r="AF549" s="242" t="s">
        <v>583</v>
      </c>
      <c r="AG549" s="242">
        <v>532498</v>
      </c>
    </row>
    <row r="550" spans="30:33">
      <c r="AD550" s="17" t="s">
        <v>335</v>
      </c>
      <c r="AE550" s="242">
        <v>531213</v>
      </c>
      <c r="AF550" s="242" t="s">
        <v>587</v>
      </c>
      <c r="AG550" s="242">
        <v>531213</v>
      </c>
    </row>
    <row r="551" spans="30:33">
      <c r="AD551" s="17" t="s">
        <v>527</v>
      </c>
      <c r="AE551" s="242">
        <v>511208</v>
      </c>
      <c r="AF551" s="242" t="s">
        <v>981</v>
      </c>
      <c r="AG551" s="242">
        <v>511208</v>
      </c>
    </row>
    <row r="552" spans="30:33">
      <c r="AD552" s="17" t="s">
        <v>333</v>
      </c>
      <c r="AE552" s="242">
        <v>511196</v>
      </c>
      <c r="AF552" s="242" t="s">
        <v>917</v>
      </c>
      <c r="AG552" s="242">
        <v>511196</v>
      </c>
    </row>
    <row r="553" spans="30:33">
      <c r="AD553" s="17" t="s">
        <v>309</v>
      </c>
      <c r="AE553" s="242">
        <v>532720</v>
      </c>
      <c r="AF553" s="242" t="s">
        <v>570</v>
      </c>
      <c r="AG553" s="242">
        <v>532720</v>
      </c>
    </row>
    <row r="554" spans="30:33">
      <c r="AD554" s="17" t="s">
        <v>332</v>
      </c>
      <c r="AE554" s="242">
        <v>532922</v>
      </c>
      <c r="AF554" s="242" t="s">
        <v>568</v>
      </c>
      <c r="AG554" s="242">
        <v>532922</v>
      </c>
    </row>
    <row r="555" spans="30:33">
      <c r="AD555" s="17" t="s">
        <v>331</v>
      </c>
      <c r="AE555" s="242">
        <v>532892</v>
      </c>
      <c r="AF555" s="242" t="s">
        <v>563</v>
      </c>
      <c r="AG555" s="242">
        <v>532892</v>
      </c>
    </row>
    <row r="556" spans="30:33">
      <c r="AD556" s="17" t="s">
        <v>308</v>
      </c>
      <c r="AE556" s="242">
        <v>538607</v>
      </c>
      <c r="AF556" s="242" t="s">
        <v>1115</v>
      </c>
      <c r="AG556" s="242">
        <v>538607</v>
      </c>
    </row>
    <row r="557" spans="30:33">
      <c r="AD557" s="17" t="s">
        <v>282</v>
      </c>
      <c r="AE557" s="242">
        <v>533638</v>
      </c>
      <c r="AF557" s="242" t="s">
        <v>1123</v>
      </c>
      <c r="AG557" s="242">
        <v>533638</v>
      </c>
    </row>
    <row r="558" spans="30:33">
      <c r="AD558" s="17" t="s">
        <v>281</v>
      </c>
      <c r="AE558" s="242">
        <v>512573</v>
      </c>
      <c r="AF558" s="242" t="s">
        <v>1128</v>
      </c>
      <c r="AG558" s="242">
        <v>512573</v>
      </c>
    </row>
    <row r="559" spans="30:33">
      <c r="AD559" s="17" t="s">
        <v>264</v>
      </c>
      <c r="AE559" s="240">
        <v>532783</v>
      </c>
      <c r="AF559" s="242" t="s">
        <v>1131</v>
      </c>
      <c r="AG559" s="240">
        <v>532783</v>
      </c>
    </row>
    <row r="560" spans="30:33">
      <c r="AD560" s="17" t="s">
        <v>280</v>
      </c>
      <c r="AE560" s="242">
        <v>519260</v>
      </c>
      <c r="AF560" s="242" t="s">
        <v>1135</v>
      </c>
      <c r="AG560" s="242">
        <v>519260</v>
      </c>
    </row>
    <row r="561" spans="30:33">
      <c r="AD561" s="17" t="s">
        <v>279</v>
      </c>
      <c r="AE561" s="242">
        <v>534425</v>
      </c>
      <c r="AF561" s="242" t="s">
        <v>983</v>
      </c>
      <c r="AG561" s="242">
        <v>534425</v>
      </c>
    </row>
    <row r="562" spans="30:33">
      <c r="AD562" s="17" t="s">
        <v>276</v>
      </c>
      <c r="AE562" s="242">
        <v>512289</v>
      </c>
      <c r="AF562" s="242" t="s">
        <v>1154</v>
      </c>
      <c r="AG562" s="242">
        <v>512289</v>
      </c>
    </row>
    <row r="563" spans="30:33">
      <c r="AD563" s="17" t="s">
        <v>414</v>
      </c>
      <c r="AE563" s="242">
        <v>500141</v>
      </c>
      <c r="AF563" s="242" t="s">
        <v>1157</v>
      </c>
      <c r="AG563" s="242">
        <v>500141</v>
      </c>
    </row>
    <row r="564" spans="30:33">
      <c r="AD564" s="17" t="s">
        <v>301</v>
      </c>
      <c r="AE564" s="242">
        <v>500444</v>
      </c>
      <c r="AF564" s="242" t="s">
        <v>985</v>
      </c>
      <c r="AG564" s="242">
        <v>500444</v>
      </c>
    </row>
    <row r="565" spans="30:33">
      <c r="AD565" s="17" t="s">
        <v>329</v>
      </c>
      <c r="AE565" s="242">
        <v>532926</v>
      </c>
      <c r="AF565" s="242" t="s">
        <v>499</v>
      </c>
      <c r="AG565" s="242">
        <v>532926</v>
      </c>
    </row>
    <row r="566" spans="30:33">
      <c r="AD566" s="17" t="s">
        <v>299</v>
      </c>
      <c r="AE566" s="242">
        <v>532851</v>
      </c>
      <c r="AF566" s="242" t="s">
        <v>1165</v>
      </c>
      <c r="AG566" s="242">
        <v>532851</v>
      </c>
    </row>
    <row r="567" spans="30:33">
      <c r="AD567" s="17" t="s">
        <v>328</v>
      </c>
      <c r="AE567" s="242">
        <v>532488</v>
      </c>
      <c r="AF567" s="242" t="s">
        <v>466</v>
      </c>
      <c r="AG567" s="242">
        <v>532488</v>
      </c>
    </row>
    <row r="568" spans="30:33">
      <c r="AD568" s="17" t="s">
        <v>327</v>
      </c>
      <c r="AE568" s="242">
        <v>524494</v>
      </c>
      <c r="AF568" s="242" t="s">
        <v>919</v>
      </c>
      <c r="AG568" s="242">
        <v>524494</v>
      </c>
    </row>
    <row r="569" spans="30:33">
      <c r="AD569" s="17" t="s">
        <v>367</v>
      </c>
      <c r="AE569" s="242">
        <v>524816</v>
      </c>
      <c r="AF569" s="242" t="s">
        <v>479</v>
      </c>
      <c r="AG569" s="242">
        <v>524816</v>
      </c>
    </row>
    <row r="570" spans="30:33">
      <c r="AD570" s="17" t="s">
        <v>365</v>
      </c>
      <c r="AE570" s="242">
        <v>524404</v>
      </c>
      <c r="AF570" s="242" t="s">
        <v>1167</v>
      </c>
      <c r="AG570" s="242">
        <v>524404</v>
      </c>
    </row>
    <row r="571" spans="30:33">
      <c r="AD571" s="17" t="s">
        <v>326</v>
      </c>
      <c r="AE571" s="242">
        <v>512529</v>
      </c>
      <c r="AF571" s="242" t="s">
        <v>1171</v>
      </c>
      <c r="AG571" s="242">
        <v>512529</v>
      </c>
    </row>
    <row r="572" spans="30:33">
      <c r="AD572" s="17" t="s">
        <v>246</v>
      </c>
      <c r="AE572" s="240">
        <v>532322</v>
      </c>
      <c r="AF572" s="242" t="s">
        <v>487</v>
      </c>
      <c r="AG572" s="240">
        <v>532322</v>
      </c>
    </row>
    <row r="573" spans="30:33">
      <c r="AD573" s="17" t="s">
        <v>325</v>
      </c>
      <c r="AE573" s="240">
        <v>502742</v>
      </c>
      <c r="AF573" s="242" t="s">
        <v>454</v>
      </c>
      <c r="AG573" s="240">
        <v>502742</v>
      </c>
    </row>
    <row r="574" spans="30:33">
      <c r="AD574" s="17" t="s">
        <v>298</v>
      </c>
      <c r="AE574" s="240">
        <v>507880</v>
      </c>
      <c r="AF574" s="242" t="s">
        <v>452</v>
      </c>
      <c r="AG574" s="240">
        <v>507880</v>
      </c>
    </row>
    <row r="575" spans="30:33">
      <c r="AD575" s="17" t="s">
        <v>920</v>
      </c>
      <c r="AE575" s="240">
        <v>533206</v>
      </c>
      <c r="AF575" s="242" t="s">
        <v>439</v>
      </c>
      <c r="AG575" s="240">
        <v>533206</v>
      </c>
    </row>
    <row r="576" spans="30:33">
      <c r="AD576" s="17" t="s">
        <v>922</v>
      </c>
      <c r="AE576" s="240">
        <v>532997</v>
      </c>
      <c r="AF576" s="242" t="s">
        <v>432</v>
      </c>
      <c r="AG576" s="240">
        <v>532997</v>
      </c>
    </row>
    <row r="577" spans="30:33">
      <c r="AD577" s="17" t="s">
        <v>923</v>
      </c>
      <c r="AE577" s="240">
        <v>534597</v>
      </c>
      <c r="AF577" s="242" t="s">
        <v>1179</v>
      </c>
      <c r="AG577" s="240">
        <v>534597</v>
      </c>
    </row>
    <row r="578" spans="30:33">
      <c r="AD578" s="17" t="s">
        <v>953</v>
      </c>
      <c r="AE578" s="240">
        <v>532144</v>
      </c>
      <c r="AF578" s="242" t="s">
        <v>399</v>
      </c>
      <c r="AG578" s="240">
        <v>532144</v>
      </c>
    </row>
    <row r="579" spans="30:33">
      <c r="AD579" s="17" t="s">
        <v>954</v>
      </c>
      <c r="AE579" s="240">
        <v>513216</v>
      </c>
      <c r="AF579" s="242" t="s">
        <v>403</v>
      </c>
      <c r="AG579" s="240">
        <v>513216</v>
      </c>
    </row>
    <row r="580" spans="30:33">
      <c r="AD580" s="17" t="s">
        <v>955</v>
      </c>
      <c r="AE580" s="240">
        <v>513269</v>
      </c>
      <c r="AF580" s="242" t="s">
        <v>1190</v>
      </c>
      <c r="AG580" s="240">
        <v>513269</v>
      </c>
    </row>
    <row r="581" spans="30:33">
      <c r="AD581" s="17" t="s">
        <v>1195</v>
      </c>
      <c r="AE581" s="240">
        <v>523369</v>
      </c>
      <c r="AF581" s="242" t="s">
        <v>1196</v>
      </c>
      <c r="AG581" s="240">
        <v>523369</v>
      </c>
    </row>
    <row r="582" spans="30:33">
      <c r="AD582" s="17" t="s">
        <v>1215</v>
      </c>
      <c r="AE582" s="240">
        <v>530007</v>
      </c>
      <c r="AF582" s="242" t="s">
        <v>1217</v>
      </c>
      <c r="AG582" s="240">
        <v>530007</v>
      </c>
    </row>
    <row r="583" spans="30:33">
      <c r="AD583" s="17" t="s">
        <v>1222</v>
      </c>
      <c r="AE583" s="240">
        <v>500020</v>
      </c>
      <c r="AF583" s="242" t="s">
        <v>359</v>
      </c>
      <c r="AG583" s="240">
        <v>500020</v>
      </c>
    </row>
    <row r="584" spans="30:33">
      <c r="AD584" s="17" t="s">
        <v>1224</v>
      </c>
      <c r="AE584" s="240">
        <v>500280</v>
      </c>
      <c r="AF584" s="242" t="s">
        <v>937</v>
      </c>
      <c r="AG584" s="240">
        <v>500280</v>
      </c>
    </row>
    <row r="585" spans="30:33">
      <c r="AD585" s="17" t="s">
        <v>318</v>
      </c>
      <c r="AE585" s="242">
        <v>532276</v>
      </c>
      <c r="AF585" s="242" t="s">
        <v>1022</v>
      </c>
      <c r="AG585" s="242">
        <v>532276</v>
      </c>
    </row>
    <row r="586" spans="30:33">
      <c r="AD586" s="17" t="s">
        <v>346</v>
      </c>
      <c r="AE586" s="242">
        <v>532191</v>
      </c>
      <c r="AF586" s="242" t="s">
        <v>1032</v>
      </c>
      <c r="AG586" s="242">
        <v>532191</v>
      </c>
    </row>
    <row r="587" spans="30:33">
      <c r="AD587" s="17" t="s">
        <v>294</v>
      </c>
      <c r="AE587" s="242">
        <v>500128</v>
      </c>
      <c r="AF587" s="242" t="s">
        <v>1194</v>
      </c>
      <c r="AG587" s="242">
        <v>500128</v>
      </c>
    </row>
    <row r="588" spans="30:33">
      <c r="AD588" s="17" t="s">
        <v>344</v>
      </c>
      <c r="AE588" s="242">
        <v>530005</v>
      </c>
      <c r="AF588" s="242" t="s">
        <v>724</v>
      </c>
      <c r="AG588" s="242">
        <v>530005</v>
      </c>
    </row>
    <row r="589" spans="30:33">
      <c r="AD589" s="17" t="s">
        <v>293</v>
      </c>
      <c r="AE589" s="242">
        <v>532369</v>
      </c>
      <c r="AF589" s="242" t="s">
        <v>943</v>
      </c>
      <c r="AG589" s="242">
        <v>532369</v>
      </c>
    </row>
    <row r="590" spans="30:33">
      <c r="AD590" s="17" t="s">
        <v>269</v>
      </c>
      <c r="AE590" s="242">
        <v>532175</v>
      </c>
      <c r="AF590" s="242" t="s">
        <v>1054</v>
      </c>
      <c r="AG590" s="242">
        <v>532175</v>
      </c>
    </row>
    <row r="591" spans="30:33">
      <c r="AD591" s="17" t="s">
        <v>251</v>
      </c>
      <c r="AE591" s="240">
        <v>517447</v>
      </c>
      <c r="AF591" s="242" t="s">
        <v>1058</v>
      </c>
      <c r="AG591" s="240">
        <v>517447</v>
      </c>
    </row>
    <row r="592" spans="30:33">
      <c r="AD592" s="17" t="s">
        <v>250</v>
      </c>
      <c r="AE592" s="240">
        <v>531120</v>
      </c>
      <c r="AF592" s="242" t="s">
        <v>682</v>
      </c>
      <c r="AG592" s="240">
        <v>531120</v>
      </c>
    </row>
    <row r="593" spans="30:33">
      <c r="AD593" s="17" t="s">
        <v>311</v>
      </c>
      <c r="AE593" s="240">
        <v>523445</v>
      </c>
      <c r="AF593" s="242" t="s">
        <v>619</v>
      </c>
      <c r="AG593" s="240">
        <v>523445</v>
      </c>
    </row>
    <row r="594" spans="30:33">
      <c r="AD594" s="17" t="s">
        <v>288</v>
      </c>
      <c r="AE594" s="242">
        <v>532924</v>
      </c>
      <c r="AF594" s="242" t="s">
        <v>672</v>
      </c>
      <c r="AG594" s="242">
        <v>532924</v>
      </c>
    </row>
    <row r="595" spans="30:33">
      <c r="AD595" s="17" t="s">
        <v>310</v>
      </c>
      <c r="AE595" s="242">
        <v>523716</v>
      </c>
      <c r="AF595" s="242" t="s">
        <v>1074</v>
      </c>
      <c r="AG595" s="242">
        <v>523716</v>
      </c>
    </row>
    <row r="596" spans="30:33">
      <c r="AD596" s="17" t="s">
        <v>598</v>
      </c>
      <c r="AE596" s="242">
        <v>532259</v>
      </c>
      <c r="AF596" s="242" t="s">
        <v>958</v>
      </c>
      <c r="AG596" s="242">
        <v>532259</v>
      </c>
    </row>
    <row r="597" spans="30:33">
      <c r="AD597" s="17" t="s">
        <v>267</v>
      </c>
      <c r="AE597" s="242">
        <v>500068</v>
      </c>
      <c r="AF597" s="242" t="s">
        <v>1083</v>
      </c>
      <c r="AG597" s="242">
        <v>500068</v>
      </c>
    </row>
    <row r="598" spans="30:33">
      <c r="AD598" s="17" t="s">
        <v>339</v>
      </c>
      <c r="AE598" s="242">
        <v>534809</v>
      </c>
      <c r="AF598" s="242" t="s">
        <v>612</v>
      </c>
      <c r="AG598" s="242">
        <v>534809</v>
      </c>
    </row>
    <row r="599" spans="30:33">
      <c r="AD599" s="17" t="s">
        <v>539</v>
      </c>
      <c r="AE599" s="242">
        <v>533217</v>
      </c>
      <c r="AF599" s="242" t="s">
        <v>980</v>
      </c>
      <c r="AG599" s="242">
        <v>533217</v>
      </c>
    </row>
    <row r="600" spans="30:33">
      <c r="AD600" s="17" t="s">
        <v>284</v>
      </c>
      <c r="AE600" s="242">
        <v>530011</v>
      </c>
      <c r="AF600" s="242" t="s">
        <v>1097</v>
      </c>
      <c r="AG600" s="242">
        <v>530011</v>
      </c>
    </row>
    <row r="601" spans="30:33">
      <c r="AD601" s="17" t="s">
        <v>335</v>
      </c>
      <c r="AE601" s="242">
        <v>531737</v>
      </c>
      <c r="AF601" s="242" t="s">
        <v>1100</v>
      </c>
      <c r="AG601" s="242">
        <v>531737</v>
      </c>
    </row>
    <row r="602" spans="30:33">
      <c r="AD602" s="17" t="s">
        <v>527</v>
      </c>
      <c r="AE602" s="242">
        <v>532485</v>
      </c>
      <c r="AF602" s="242" t="s">
        <v>1105</v>
      </c>
      <c r="AG602" s="242">
        <v>532485</v>
      </c>
    </row>
    <row r="603" spans="30:33">
      <c r="AD603" s="17" t="s">
        <v>333</v>
      </c>
      <c r="AE603" s="242">
        <v>511676</v>
      </c>
      <c r="AF603" s="242" t="s">
        <v>579</v>
      </c>
      <c r="AG603" s="242">
        <v>511676</v>
      </c>
    </row>
    <row r="604" spans="30:33">
      <c r="AD604" s="17" t="s">
        <v>309</v>
      </c>
      <c r="AE604" s="242">
        <v>500490</v>
      </c>
      <c r="AF604" s="242" t="s">
        <v>573</v>
      </c>
      <c r="AG604" s="242">
        <v>500490</v>
      </c>
    </row>
    <row r="605" spans="30:33">
      <c r="AD605" s="17" t="s">
        <v>332</v>
      </c>
      <c r="AE605" s="242">
        <v>500106</v>
      </c>
      <c r="AF605" s="242" t="s">
        <v>559</v>
      </c>
      <c r="AG605" s="242">
        <v>500106</v>
      </c>
    </row>
    <row r="606" spans="30:33">
      <c r="AD606" s="17" t="s">
        <v>331</v>
      </c>
      <c r="AE606" s="242">
        <v>533344</v>
      </c>
      <c r="AF606" s="242" t="s">
        <v>1109</v>
      </c>
      <c r="AG606" s="242">
        <v>533344</v>
      </c>
    </row>
    <row r="607" spans="30:33">
      <c r="AD607" s="17" t="s">
        <v>308</v>
      </c>
      <c r="AE607" s="242">
        <v>590121</v>
      </c>
      <c r="AF607" s="242" t="s">
        <v>1116</v>
      </c>
      <c r="AG607" s="242">
        <v>590121</v>
      </c>
    </row>
    <row r="608" spans="30:33">
      <c r="AD608" s="17" t="s">
        <v>282</v>
      </c>
      <c r="AE608" s="242">
        <v>509820</v>
      </c>
      <c r="AF608" s="242" t="s">
        <v>1124</v>
      </c>
      <c r="AG608" s="242">
        <v>509820</v>
      </c>
    </row>
    <row r="609" spans="30:33">
      <c r="AD609" s="17" t="s">
        <v>264</v>
      </c>
      <c r="AE609" s="242">
        <v>519307</v>
      </c>
      <c r="AF609" s="242" t="s">
        <v>551</v>
      </c>
      <c r="AG609" s="242">
        <v>519307</v>
      </c>
    </row>
    <row r="610" spans="30:33">
      <c r="AD610" s="17" t="s">
        <v>280</v>
      </c>
      <c r="AE610" s="242">
        <v>532980</v>
      </c>
      <c r="AF610" s="242" t="s">
        <v>1136</v>
      </c>
      <c r="AG610" s="242">
        <v>532980</v>
      </c>
    </row>
    <row r="611" spans="30:33">
      <c r="AD611" s="17" t="s">
        <v>276</v>
      </c>
      <c r="AE611" s="242">
        <v>512579</v>
      </c>
      <c r="AF611" s="242" t="s">
        <v>518</v>
      </c>
      <c r="AG611" s="242">
        <v>512579</v>
      </c>
    </row>
    <row r="612" spans="30:33">
      <c r="AD612" s="17" t="s">
        <v>414</v>
      </c>
      <c r="AE612" s="242">
        <v>532731</v>
      </c>
      <c r="AF612" s="242" t="s">
        <v>1158</v>
      </c>
      <c r="AG612" s="242">
        <v>532731</v>
      </c>
    </row>
    <row r="613" spans="30:33">
      <c r="AD613" s="17" t="s">
        <v>301</v>
      </c>
      <c r="AE613" s="242">
        <v>523523</v>
      </c>
      <c r="AF613" s="242" t="s">
        <v>506</v>
      </c>
      <c r="AG613" s="242">
        <v>523523</v>
      </c>
    </row>
    <row r="614" spans="30:33">
      <c r="AD614" s="17" t="s">
        <v>328</v>
      </c>
      <c r="AE614" s="242">
        <v>532296</v>
      </c>
      <c r="AF614" s="242" t="s">
        <v>464</v>
      </c>
      <c r="AG614" s="242">
        <v>532296</v>
      </c>
    </row>
    <row r="615" spans="30:33">
      <c r="AD615" s="17" t="s">
        <v>327</v>
      </c>
      <c r="AE615" s="242">
        <v>532523</v>
      </c>
      <c r="AF615" s="242" t="s">
        <v>469</v>
      </c>
      <c r="AG615" s="242">
        <v>532523</v>
      </c>
    </row>
    <row r="616" spans="30:33">
      <c r="AD616" s="17" t="s">
        <v>367</v>
      </c>
      <c r="AE616" s="242">
        <v>532531</v>
      </c>
      <c r="AF616" s="242" t="s">
        <v>472</v>
      </c>
      <c r="AG616" s="242">
        <v>532531</v>
      </c>
    </row>
    <row r="617" spans="30:33">
      <c r="AD617" s="17" t="s">
        <v>365</v>
      </c>
      <c r="AE617" s="242">
        <v>530019</v>
      </c>
      <c r="AF617" s="242" t="s">
        <v>483</v>
      </c>
      <c r="AG617" s="242">
        <v>530019</v>
      </c>
    </row>
    <row r="618" spans="30:33">
      <c r="AD618" s="17" t="s">
        <v>326</v>
      </c>
      <c r="AE618" s="242">
        <v>524552</v>
      </c>
      <c r="AF618" s="242" t="s">
        <v>489</v>
      </c>
      <c r="AG618" s="242">
        <v>524552</v>
      </c>
    </row>
    <row r="619" spans="30:33">
      <c r="AD619" s="17" t="s">
        <v>954</v>
      </c>
      <c r="AE619" s="242">
        <v>517146</v>
      </c>
      <c r="AF619" s="242" t="s">
        <v>406</v>
      </c>
      <c r="AG619" s="242">
        <v>517146</v>
      </c>
    </row>
    <row r="620" spans="30:33">
      <c r="AD620" s="17" t="s">
        <v>1222</v>
      </c>
      <c r="AE620" s="242">
        <v>521064</v>
      </c>
      <c r="AF620" s="242" t="s">
        <v>1223</v>
      </c>
      <c r="AG620" s="242">
        <v>521064</v>
      </c>
    </row>
    <row r="621" spans="30:33">
      <c r="AD621" s="17" t="s">
        <v>1224</v>
      </c>
      <c r="AE621" s="242">
        <v>514304</v>
      </c>
      <c r="AF621" s="242" t="s">
        <v>1226</v>
      </c>
      <c r="AG621" s="242">
        <v>514304</v>
      </c>
    </row>
    <row r="622" spans="30:33">
      <c r="AD622" s="17" t="s">
        <v>318</v>
      </c>
      <c r="AE622" s="240">
        <v>500315</v>
      </c>
      <c r="AF622" s="242" t="s">
        <v>1023</v>
      </c>
      <c r="AG622" s="240">
        <v>500315</v>
      </c>
    </row>
    <row r="623" spans="30:33">
      <c r="AD623" s="17" t="s">
        <v>346</v>
      </c>
      <c r="AE623" s="240">
        <v>532200</v>
      </c>
      <c r="AF623" s="242" t="s">
        <v>1033</v>
      </c>
      <c r="AG623" s="240">
        <v>532200</v>
      </c>
    </row>
    <row r="624" spans="30:33">
      <c r="AD624" s="17" t="s">
        <v>344</v>
      </c>
      <c r="AE624" s="240">
        <v>500040</v>
      </c>
      <c r="AF624" s="242" t="s">
        <v>1228</v>
      </c>
      <c r="AG624" s="240">
        <v>500040</v>
      </c>
    </row>
    <row r="625" spans="30:33">
      <c r="AD625" s="17" t="s">
        <v>293</v>
      </c>
      <c r="AE625" s="242">
        <v>509675</v>
      </c>
      <c r="AF625" s="242" t="s">
        <v>1044</v>
      </c>
      <c r="AG625" s="242">
        <v>509675</v>
      </c>
    </row>
    <row r="626" spans="30:33">
      <c r="AD626" s="17" t="s">
        <v>269</v>
      </c>
      <c r="AE626" s="242">
        <v>511431</v>
      </c>
      <c r="AF626" s="242" t="s">
        <v>689</v>
      </c>
      <c r="AG626" s="242">
        <v>511431</v>
      </c>
    </row>
    <row r="627" spans="30:33">
      <c r="AD627" s="17" t="s">
        <v>251</v>
      </c>
      <c r="AE627" s="240">
        <v>532312</v>
      </c>
      <c r="AF627" s="242" t="s">
        <v>697</v>
      </c>
      <c r="AG627" s="240">
        <v>532312</v>
      </c>
    </row>
    <row r="628" spans="30:33">
      <c r="AD628" s="17" t="s">
        <v>250</v>
      </c>
      <c r="AE628" s="240">
        <v>530773</v>
      </c>
      <c r="AF628" s="242" t="s">
        <v>681</v>
      </c>
      <c r="AG628" s="240">
        <v>530773</v>
      </c>
    </row>
    <row r="629" spans="30:33">
      <c r="AD629" s="17" t="s">
        <v>311</v>
      </c>
      <c r="AE629" s="240">
        <v>532904</v>
      </c>
      <c r="AF629" s="242" t="s">
        <v>1068</v>
      </c>
      <c r="AG629" s="240">
        <v>532904</v>
      </c>
    </row>
    <row r="630" spans="30:33">
      <c r="AD630" s="17" t="s">
        <v>288</v>
      </c>
      <c r="AE630" s="240">
        <v>532940</v>
      </c>
      <c r="AF630" s="242" t="s">
        <v>1071</v>
      </c>
      <c r="AG630" s="240">
        <v>532940</v>
      </c>
    </row>
    <row r="631" spans="30:33">
      <c r="AD631" s="17" t="s">
        <v>310</v>
      </c>
      <c r="AE631" s="242">
        <v>503310</v>
      </c>
      <c r="AF631" s="242" t="s">
        <v>654</v>
      </c>
      <c r="AG631" s="242">
        <v>503310</v>
      </c>
    </row>
    <row r="632" spans="30:33">
      <c r="AD632" s="17" t="s">
        <v>339</v>
      </c>
      <c r="AE632" s="242">
        <v>534369</v>
      </c>
      <c r="AF632" s="242" t="s">
        <v>613</v>
      </c>
      <c r="AG632" s="242">
        <v>534369</v>
      </c>
    </row>
    <row r="633" spans="30:33">
      <c r="AD633" s="17" t="s">
        <v>539</v>
      </c>
      <c r="AE633" s="242">
        <v>532826</v>
      </c>
      <c r="AF633" s="242" t="s">
        <v>1095</v>
      </c>
      <c r="AG633" s="242">
        <v>532826</v>
      </c>
    </row>
    <row r="634" spans="30:33">
      <c r="AD634" s="17" t="s">
        <v>284</v>
      </c>
      <c r="AE634" s="242">
        <v>534742</v>
      </c>
      <c r="AF634" s="242" t="s">
        <v>931</v>
      </c>
      <c r="AG634" s="242">
        <v>534742</v>
      </c>
    </row>
    <row r="635" spans="30:33">
      <c r="AD635" s="17" t="s">
        <v>335</v>
      </c>
      <c r="AE635" s="242">
        <v>512311</v>
      </c>
      <c r="AF635" s="242" t="s">
        <v>1101</v>
      </c>
      <c r="AG635" s="242">
        <v>512311</v>
      </c>
    </row>
    <row r="636" spans="30:33">
      <c r="AD636" s="17" t="s">
        <v>309</v>
      </c>
      <c r="AE636" s="242">
        <v>535789</v>
      </c>
      <c r="AF636" s="242" t="s">
        <v>1106</v>
      </c>
      <c r="AG636" s="242">
        <v>535789</v>
      </c>
    </row>
    <row r="637" spans="30:33">
      <c r="AD637" s="17" t="s">
        <v>331</v>
      </c>
      <c r="AE637" s="242">
        <v>532938</v>
      </c>
      <c r="AF637" s="242" t="s">
        <v>562</v>
      </c>
      <c r="AG637" s="242">
        <v>532938</v>
      </c>
    </row>
    <row r="638" spans="30:33">
      <c r="AD638" s="17" t="s">
        <v>308</v>
      </c>
      <c r="AE638" s="242">
        <v>511016</v>
      </c>
      <c r="AF638" s="242" t="s">
        <v>1117</v>
      </c>
      <c r="AG638" s="242">
        <v>511016</v>
      </c>
    </row>
    <row r="639" spans="30:33">
      <c r="AD639" s="17" t="s">
        <v>282</v>
      </c>
      <c r="AE639" s="242">
        <v>500148</v>
      </c>
      <c r="AF639" s="242" t="s">
        <v>505</v>
      </c>
      <c r="AG639" s="242">
        <v>500148</v>
      </c>
    </row>
    <row r="640" spans="30:33">
      <c r="AD640" s="17" t="s">
        <v>264</v>
      </c>
      <c r="AE640" s="242">
        <v>532765</v>
      </c>
      <c r="AF640" s="242" t="s">
        <v>1132</v>
      </c>
      <c r="AG640" s="242">
        <v>532765</v>
      </c>
    </row>
    <row r="641" spans="30:33">
      <c r="AD641" s="17" t="s">
        <v>280</v>
      </c>
      <c r="AE641" s="242">
        <v>531522</v>
      </c>
      <c r="AF641" s="242" t="s">
        <v>547</v>
      </c>
      <c r="AG641" s="242">
        <v>531522</v>
      </c>
    </row>
    <row r="642" spans="30:33">
      <c r="AD642" s="17" t="s">
        <v>367</v>
      </c>
      <c r="AE642" s="242">
        <v>532872</v>
      </c>
      <c r="AF642" s="242" t="s">
        <v>475</v>
      </c>
      <c r="AG642" s="242">
        <v>532872</v>
      </c>
    </row>
    <row r="643" spans="30:33">
      <c r="AD643" s="17" t="s">
        <v>365</v>
      </c>
      <c r="AE643" s="242">
        <v>530549</v>
      </c>
      <c r="AF643" s="242" t="s">
        <v>1168</v>
      </c>
      <c r="AG643" s="242">
        <v>530549</v>
      </c>
    </row>
    <row r="644" spans="30:33">
      <c r="AD644" s="17" t="s">
        <v>326</v>
      </c>
      <c r="AE644" s="242">
        <v>506235</v>
      </c>
      <c r="AF644" s="242" t="s">
        <v>1172</v>
      </c>
      <c r="AG644" s="242">
        <v>506235</v>
      </c>
    </row>
    <row r="645" spans="30:33">
      <c r="AD645" s="17" t="s">
        <v>954</v>
      </c>
      <c r="AE645" s="242">
        <v>500254</v>
      </c>
      <c r="AF645" s="242" t="s">
        <v>1188</v>
      </c>
      <c r="AG645" s="242">
        <v>500254</v>
      </c>
    </row>
    <row r="646" spans="30:33">
      <c r="AD646" s="17" t="s">
        <v>318</v>
      </c>
      <c r="AE646" s="240">
        <v>532179</v>
      </c>
      <c r="AF646" s="242" t="s">
        <v>1024</v>
      </c>
      <c r="AG646" s="240">
        <v>532179</v>
      </c>
    </row>
    <row r="647" spans="30:33">
      <c r="AD647" s="17" t="s">
        <v>346</v>
      </c>
      <c r="AE647" s="240">
        <v>533295</v>
      </c>
      <c r="AF647" s="242" t="s">
        <v>1034</v>
      </c>
      <c r="AG647" s="240">
        <v>533295</v>
      </c>
    </row>
    <row r="648" spans="30:33">
      <c r="AD648" s="17" t="s">
        <v>293</v>
      </c>
      <c r="AE648" s="242">
        <v>530131</v>
      </c>
      <c r="AF648" s="242" t="s">
        <v>1045</v>
      </c>
      <c r="AG648" s="242">
        <v>530131</v>
      </c>
    </row>
    <row r="649" spans="30:33">
      <c r="AD649" s="17" t="s">
        <v>251</v>
      </c>
      <c r="AE649" s="242">
        <v>533121</v>
      </c>
      <c r="AF649" s="242" t="s">
        <v>1059</v>
      </c>
      <c r="AG649" s="242">
        <v>533121</v>
      </c>
    </row>
    <row r="650" spans="30:33">
      <c r="AD650" s="17" t="s">
        <v>250</v>
      </c>
      <c r="AE650" s="242">
        <v>509550</v>
      </c>
      <c r="AF650" s="242" t="s">
        <v>934</v>
      </c>
      <c r="AG650" s="242">
        <v>509550</v>
      </c>
    </row>
    <row r="651" spans="30:33">
      <c r="AD651" s="17" t="s">
        <v>311</v>
      </c>
      <c r="AE651" s="242">
        <v>532629</v>
      </c>
      <c r="AF651" s="242" t="s">
        <v>1069</v>
      </c>
      <c r="AG651" s="242">
        <v>532629</v>
      </c>
    </row>
    <row r="652" spans="30:33">
      <c r="AD652" s="17" t="s">
        <v>288</v>
      </c>
      <c r="AE652" s="242">
        <v>503031</v>
      </c>
      <c r="AF652" s="242" t="s">
        <v>670</v>
      </c>
      <c r="AG652" s="242">
        <v>503031</v>
      </c>
    </row>
    <row r="653" spans="30:33">
      <c r="AD653" s="17" t="s">
        <v>310</v>
      </c>
      <c r="AE653" s="242">
        <v>533305</v>
      </c>
      <c r="AF653" s="242" t="s">
        <v>1076</v>
      </c>
      <c r="AG653" s="242">
        <v>533305</v>
      </c>
    </row>
    <row r="654" spans="30:33">
      <c r="AD654" s="17" t="s">
        <v>339</v>
      </c>
      <c r="AE654" s="242">
        <v>533180</v>
      </c>
      <c r="AF654" s="242" t="s">
        <v>615</v>
      </c>
      <c r="AG654" s="242">
        <v>533180</v>
      </c>
    </row>
    <row r="655" spans="30:33">
      <c r="AD655" s="17" t="s">
        <v>539</v>
      </c>
      <c r="AE655" s="242">
        <v>532689</v>
      </c>
      <c r="AF655" s="242" t="s">
        <v>606</v>
      </c>
      <c r="AG655" s="242">
        <v>532689</v>
      </c>
    </row>
    <row r="656" spans="30:33">
      <c r="AD656" s="17" t="s">
        <v>335</v>
      </c>
      <c r="AE656" s="242">
        <v>524000</v>
      </c>
      <c r="AF656" s="242" t="s">
        <v>588</v>
      </c>
      <c r="AG656" s="242">
        <v>524000</v>
      </c>
    </row>
    <row r="657" spans="30:33">
      <c r="AD657" s="17" t="s">
        <v>331</v>
      </c>
      <c r="AE657" s="242">
        <v>508969</v>
      </c>
      <c r="AF657" s="242" t="s">
        <v>1110</v>
      </c>
      <c r="AG657" s="242">
        <v>508969</v>
      </c>
    </row>
    <row r="658" spans="30:33">
      <c r="AD658" s="17" t="s">
        <v>308</v>
      </c>
      <c r="AE658" s="242">
        <v>532642</v>
      </c>
      <c r="AF658" s="242" t="s">
        <v>564</v>
      </c>
      <c r="AG658" s="242">
        <v>532642</v>
      </c>
    </row>
    <row r="659" spans="30:33">
      <c r="AD659" s="17" t="s">
        <v>282</v>
      </c>
      <c r="AE659" s="242">
        <v>524051</v>
      </c>
      <c r="AF659" s="242" t="s">
        <v>1125</v>
      </c>
      <c r="AG659" s="242">
        <v>524051</v>
      </c>
    </row>
    <row r="660" spans="30:33">
      <c r="AD660" s="17" t="s">
        <v>280</v>
      </c>
      <c r="AE660" s="242">
        <v>519105</v>
      </c>
      <c r="AF660" s="242" t="s">
        <v>1137</v>
      </c>
      <c r="AG660" s="242">
        <v>519105</v>
      </c>
    </row>
    <row r="661" spans="30:33">
      <c r="AD661" s="17" t="s">
        <v>365</v>
      </c>
      <c r="AE661" s="242">
        <v>524200</v>
      </c>
      <c r="AF661" s="242" t="s">
        <v>1169</v>
      </c>
      <c r="AG661" s="242">
        <v>524200</v>
      </c>
    </row>
    <row r="662" spans="30:33">
      <c r="AD662" s="17" t="s">
        <v>326</v>
      </c>
      <c r="AE662" s="242">
        <v>524735</v>
      </c>
      <c r="AF662" s="242" t="s">
        <v>967</v>
      </c>
      <c r="AG662" s="242">
        <v>524735</v>
      </c>
    </row>
    <row r="663" spans="30:33">
      <c r="AD663" s="17" t="s">
        <v>318</v>
      </c>
      <c r="AE663" s="242">
        <v>532480</v>
      </c>
      <c r="AF663" s="242" t="s">
        <v>1025</v>
      </c>
      <c r="AG663" s="242">
        <v>532480</v>
      </c>
    </row>
    <row r="664" spans="30:33">
      <c r="AD664" s="17" t="s">
        <v>251</v>
      </c>
      <c r="AE664" s="242">
        <v>509051</v>
      </c>
      <c r="AF664" s="242" t="s">
        <v>687</v>
      </c>
      <c r="AG664" s="242">
        <v>509051</v>
      </c>
    </row>
    <row r="665" spans="30:33">
      <c r="AD665" s="17" t="s">
        <v>250</v>
      </c>
      <c r="AE665" s="242">
        <v>532710</v>
      </c>
      <c r="AF665" s="242" t="s">
        <v>677</v>
      </c>
      <c r="AG665" s="242">
        <v>532710</v>
      </c>
    </row>
    <row r="666" spans="30:33">
      <c r="AD666" s="17" t="s">
        <v>311</v>
      </c>
      <c r="AE666" s="242">
        <v>532945</v>
      </c>
      <c r="AF666" s="242" t="s">
        <v>978</v>
      </c>
      <c r="AG666" s="242">
        <v>532945</v>
      </c>
    </row>
    <row r="667" spans="30:33">
      <c r="AD667" s="17" t="s">
        <v>288</v>
      </c>
      <c r="AE667" s="242">
        <v>532799</v>
      </c>
      <c r="AF667" s="242" t="s">
        <v>1072</v>
      </c>
      <c r="AG667" s="242">
        <v>532799</v>
      </c>
    </row>
    <row r="668" spans="30:33">
      <c r="AD668" s="17" t="s">
        <v>310</v>
      </c>
      <c r="AE668" s="242">
        <v>500013</v>
      </c>
      <c r="AF668" s="242" t="s">
        <v>1075</v>
      </c>
      <c r="AG668" s="242">
        <v>500013</v>
      </c>
    </row>
    <row r="669" spans="30:33">
      <c r="AD669" s="17" t="s">
        <v>309</v>
      </c>
      <c r="AE669" s="242">
        <v>533519</v>
      </c>
      <c r="AF669" s="242" t="s">
        <v>571</v>
      </c>
      <c r="AG669" s="242">
        <v>533519</v>
      </c>
    </row>
    <row r="670" spans="30:33">
      <c r="AD670" s="17" t="s">
        <v>308</v>
      </c>
      <c r="AE670" s="242">
        <v>532960</v>
      </c>
      <c r="AF670" s="242" t="s">
        <v>1118</v>
      </c>
      <c r="AG670" s="242">
        <v>532960</v>
      </c>
    </row>
    <row r="671" spans="30:33">
      <c r="AD671" s="17" t="s">
        <v>280</v>
      </c>
      <c r="AE671" s="242">
        <v>509020</v>
      </c>
      <c r="AF671" s="242" t="s">
        <v>1138</v>
      </c>
      <c r="AG671" s="242">
        <v>509020</v>
      </c>
    </row>
    <row r="672" spans="30:33">
      <c r="AD672" s="17" t="s">
        <v>365</v>
      </c>
      <c r="AE672" s="242">
        <v>506690</v>
      </c>
      <c r="AF672" s="242" t="s">
        <v>480</v>
      </c>
      <c r="AG672" s="242">
        <v>506690</v>
      </c>
    </row>
    <row r="673" spans="30:33">
      <c r="AD673" s="17" t="s">
        <v>326</v>
      </c>
      <c r="AE673" s="242">
        <v>533288</v>
      </c>
      <c r="AF673" s="242" t="s">
        <v>485</v>
      </c>
      <c r="AG673" s="242">
        <v>533288</v>
      </c>
    </row>
    <row r="674" spans="30:33">
      <c r="AD674" s="17" t="s">
        <v>318</v>
      </c>
      <c r="AE674" s="242">
        <v>532525</v>
      </c>
      <c r="AF674" s="242" t="s">
        <v>1026</v>
      </c>
      <c r="AG674" s="242">
        <v>532525</v>
      </c>
    </row>
    <row r="675" spans="30:33">
      <c r="AD675" s="17" t="s">
        <v>251</v>
      </c>
      <c r="AE675" s="242">
        <v>526045</v>
      </c>
      <c r="AF675" s="242" t="s">
        <v>666</v>
      </c>
      <c r="AG675" s="242">
        <v>526045</v>
      </c>
    </row>
    <row r="676" spans="30:33">
      <c r="AD676" s="17" t="s">
        <v>250</v>
      </c>
      <c r="AE676" s="242">
        <v>532832</v>
      </c>
      <c r="AF676" s="242" t="s">
        <v>675</v>
      </c>
      <c r="AG676" s="242">
        <v>532832</v>
      </c>
    </row>
    <row r="677" spans="30:33">
      <c r="AD677" s="17" t="s">
        <v>288</v>
      </c>
      <c r="AE677" s="242">
        <v>533169</v>
      </c>
      <c r="AF677" s="242" t="s">
        <v>1073</v>
      </c>
      <c r="AG677" s="242">
        <v>533169</v>
      </c>
    </row>
    <row r="678" spans="30:33">
      <c r="AD678" s="17" t="s">
        <v>310</v>
      </c>
      <c r="AE678" s="242">
        <v>526367</v>
      </c>
      <c r="AF678" s="242" t="s">
        <v>961</v>
      </c>
      <c r="AG678" s="242">
        <v>526367</v>
      </c>
    </row>
    <row r="679" spans="30:33">
      <c r="AD679" s="17" t="s">
        <v>365</v>
      </c>
      <c r="AE679" s="242">
        <v>506820</v>
      </c>
      <c r="AF679" s="242" t="s">
        <v>478</v>
      </c>
      <c r="AG679" s="242">
        <v>506820</v>
      </c>
    </row>
    <row r="680" spans="30:33">
      <c r="AD680" s="17" t="s">
        <v>250</v>
      </c>
      <c r="AE680" s="242">
        <v>509496</v>
      </c>
      <c r="AF680" s="242" t="s">
        <v>1063</v>
      </c>
      <c r="AG680" s="242">
        <v>509496</v>
      </c>
    </row>
    <row r="681" spans="30:33">
      <c r="AD681" s="17" t="s">
        <v>288</v>
      </c>
      <c r="AE681" s="242">
        <v>530323</v>
      </c>
      <c r="AF681" s="242" t="s">
        <v>664</v>
      </c>
      <c r="AG681" s="242">
        <v>530323</v>
      </c>
    </row>
    <row r="682" spans="30:33">
      <c r="AD682" s="17" t="s">
        <v>365</v>
      </c>
      <c r="AE682" s="242">
        <v>500672</v>
      </c>
      <c r="AF682" s="242" t="s">
        <v>484</v>
      </c>
      <c r="AG682" s="242">
        <v>500672</v>
      </c>
    </row>
    <row r="683" spans="30:33">
      <c r="AD683" s="17" t="s">
        <v>250</v>
      </c>
      <c r="AE683" s="242">
        <v>533152</v>
      </c>
      <c r="AF683" s="242" t="s">
        <v>971</v>
      </c>
      <c r="AG683" s="242">
        <v>533152</v>
      </c>
    </row>
    <row r="684" spans="30:33">
      <c r="AD684" s="17" t="s">
        <v>250</v>
      </c>
      <c r="AE684" s="242">
        <v>532718</v>
      </c>
      <c r="AF684" s="242" t="s">
        <v>1064</v>
      </c>
      <c r="AG684" s="242">
        <v>532718</v>
      </c>
    </row>
  </sheetData>
  <pageMargins left="0.7" right="0.7" top="0.75" bottom="0.75" header="0.3" footer="0.3"/>
  <legacy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4"/>
  <sheetViews>
    <sheetView showGridLines="0" workbookViewId="0"/>
  </sheetViews>
  <sheetFormatPr baseColWidth="10" defaultColWidth="8.6640625" defaultRowHeight="14" x14ac:dyDescent="0"/>
  <cols>
    <col min="1" max="16384" width="8.6640625" style="132"/>
  </cols>
  <sheetData>
    <row r="1" spans="2:12">
      <c r="B1" s="437" t="s">
        <v>1344</v>
      </c>
    </row>
    <row r="3" spans="2:12">
      <c r="B3" s="577" t="s">
        <v>1345</v>
      </c>
      <c r="C3" s="577"/>
      <c r="D3" s="577"/>
      <c r="E3" s="577"/>
      <c r="F3" s="577"/>
      <c r="G3" s="577"/>
      <c r="H3" s="577"/>
      <c r="I3" s="577"/>
      <c r="J3" s="577"/>
      <c r="K3" s="577"/>
    </row>
    <row r="4" spans="2:12">
      <c r="B4" s="576" t="s">
        <v>1346</v>
      </c>
      <c r="C4" s="576"/>
      <c r="D4" s="576"/>
      <c r="E4" s="576"/>
      <c r="F4" s="576"/>
      <c r="G4" s="576"/>
      <c r="H4" s="576"/>
      <c r="I4" s="576"/>
      <c r="J4" s="576"/>
      <c r="K4" s="576"/>
      <c r="L4" s="132" t="s">
        <v>1274</v>
      </c>
    </row>
    <row r="5" spans="2:12">
      <c r="B5" s="576"/>
      <c r="C5" s="576"/>
      <c r="D5" s="576"/>
      <c r="E5" s="576"/>
      <c r="F5" s="576"/>
      <c r="G5" s="576"/>
      <c r="H5" s="576"/>
      <c r="I5" s="576"/>
      <c r="J5" s="576"/>
      <c r="K5" s="576"/>
    </row>
    <row r="6" spans="2:12">
      <c r="B6" s="577" t="s">
        <v>1347</v>
      </c>
      <c r="C6" s="577"/>
      <c r="D6" s="577"/>
      <c r="E6" s="577"/>
      <c r="F6" s="577"/>
      <c r="G6" s="577"/>
      <c r="H6" s="577"/>
      <c r="I6" s="577"/>
      <c r="J6" s="577"/>
      <c r="K6" s="577"/>
    </row>
    <row r="7" spans="2:12">
      <c r="B7" s="576" t="s">
        <v>1348</v>
      </c>
      <c r="C7" s="576"/>
      <c r="D7" s="576"/>
      <c r="E7" s="576"/>
      <c r="F7" s="576"/>
      <c r="G7" s="576"/>
      <c r="H7" s="576"/>
      <c r="I7" s="576"/>
      <c r="J7" s="576"/>
      <c r="K7" s="576"/>
      <c r="L7" s="132" t="s">
        <v>1274</v>
      </c>
    </row>
    <row r="8" spans="2:12">
      <c r="B8" s="576"/>
      <c r="C8" s="576"/>
      <c r="D8" s="576"/>
      <c r="E8" s="576"/>
      <c r="F8" s="576"/>
      <c r="G8" s="576"/>
      <c r="H8" s="576"/>
      <c r="I8" s="576"/>
      <c r="J8" s="576"/>
      <c r="K8" s="576"/>
    </row>
    <row r="9" spans="2:12">
      <c r="B9" s="577" t="s">
        <v>1349</v>
      </c>
      <c r="C9" s="577"/>
      <c r="D9" s="577"/>
      <c r="E9" s="577"/>
      <c r="F9" s="577"/>
      <c r="G9" s="577"/>
      <c r="H9" s="577"/>
      <c r="I9" s="577"/>
      <c r="J9" s="577"/>
      <c r="K9" s="577"/>
    </row>
    <row r="10" spans="2:12">
      <c r="B10" s="576" t="s">
        <v>1350</v>
      </c>
      <c r="C10" s="576"/>
      <c r="D10" s="576"/>
      <c r="E10" s="576"/>
      <c r="F10" s="576"/>
      <c r="G10" s="576"/>
      <c r="H10" s="576"/>
      <c r="I10" s="576"/>
      <c r="J10" s="576"/>
      <c r="K10" s="576"/>
      <c r="L10" s="132" t="s">
        <v>1274</v>
      </c>
    </row>
    <row r="11" spans="2:12">
      <c r="B11" s="576" t="s">
        <v>1351</v>
      </c>
      <c r="C11" s="576"/>
      <c r="D11" s="576"/>
      <c r="E11" s="576"/>
      <c r="F11" s="576"/>
      <c r="G11" s="576"/>
      <c r="H11" s="576"/>
      <c r="I11" s="576"/>
      <c r="J11" s="576"/>
      <c r="K11" s="576"/>
      <c r="L11" s="132" t="s">
        <v>1274</v>
      </c>
    </row>
    <row r="12" spans="2:12">
      <c r="B12" s="576" t="s">
        <v>1352</v>
      </c>
      <c r="C12" s="576"/>
      <c r="D12" s="576"/>
      <c r="E12" s="576"/>
      <c r="F12" s="576"/>
      <c r="G12" s="576"/>
      <c r="H12" s="576"/>
      <c r="I12" s="576"/>
      <c r="J12" s="576"/>
      <c r="K12" s="576"/>
      <c r="L12" s="132" t="s">
        <v>1294</v>
      </c>
    </row>
    <row r="13" spans="2:12">
      <c r="B13" s="576"/>
      <c r="C13" s="576"/>
      <c r="D13" s="576"/>
      <c r="E13" s="576"/>
      <c r="F13" s="576"/>
      <c r="G13" s="576"/>
      <c r="H13" s="576"/>
      <c r="I13" s="576"/>
      <c r="J13" s="576"/>
      <c r="K13" s="576"/>
    </row>
    <row r="14" spans="2:12">
      <c r="B14" s="577" t="s">
        <v>1353</v>
      </c>
      <c r="C14" s="577"/>
      <c r="D14" s="577"/>
      <c r="E14" s="577"/>
      <c r="F14" s="577"/>
      <c r="G14" s="577"/>
      <c r="H14" s="577"/>
      <c r="I14" s="577"/>
      <c r="J14" s="577"/>
      <c r="K14" s="577"/>
    </row>
    <row r="15" spans="2:12">
      <c r="B15" s="576" t="s">
        <v>1354</v>
      </c>
      <c r="C15" s="576"/>
      <c r="D15" s="576"/>
      <c r="E15" s="576"/>
      <c r="F15" s="576"/>
      <c r="G15" s="576"/>
      <c r="H15" s="576"/>
      <c r="I15" s="576"/>
      <c r="J15" s="576"/>
      <c r="K15" s="576"/>
      <c r="L15" s="132" t="s">
        <v>1274</v>
      </c>
    </row>
    <row r="16" spans="2:12">
      <c r="B16" s="576" t="s">
        <v>1355</v>
      </c>
      <c r="C16" s="576"/>
      <c r="D16" s="576"/>
      <c r="E16" s="576"/>
      <c r="F16" s="576"/>
      <c r="G16" s="576"/>
      <c r="H16" s="576"/>
      <c r="I16" s="576"/>
      <c r="J16" s="576"/>
      <c r="K16" s="576"/>
      <c r="L16" s="132" t="s">
        <v>1274</v>
      </c>
    </row>
    <row r="17" spans="2:12">
      <c r="B17" s="576" t="s">
        <v>1356</v>
      </c>
      <c r="C17" s="576"/>
      <c r="D17" s="576"/>
      <c r="E17" s="576"/>
      <c r="F17" s="576"/>
      <c r="G17" s="576"/>
      <c r="H17" s="576"/>
      <c r="I17" s="576"/>
      <c r="J17" s="576"/>
      <c r="K17" s="576"/>
      <c r="L17" s="132" t="s">
        <v>1274</v>
      </c>
    </row>
    <row r="18" spans="2:12">
      <c r="B18" s="576" t="s">
        <v>1357</v>
      </c>
      <c r="C18" s="576"/>
      <c r="D18" s="576"/>
      <c r="E18" s="576"/>
      <c r="F18" s="576"/>
      <c r="G18" s="576"/>
      <c r="H18" s="576"/>
      <c r="I18" s="576"/>
      <c r="J18" s="576"/>
      <c r="K18" s="576"/>
      <c r="L18" s="132" t="s">
        <v>1274</v>
      </c>
    </row>
    <row r="19" spans="2:12">
      <c r="B19" s="576"/>
      <c r="C19" s="576"/>
      <c r="D19" s="576"/>
      <c r="E19" s="576"/>
      <c r="F19" s="576"/>
      <c r="G19" s="576"/>
      <c r="H19" s="576"/>
      <c r="I19" s="576"/>
      <c r="J19" s="576"/>
      <c r="K19" s="576"/>
    </row>
    <row r="20" spans="2:12">
      <c r="B20" s="577" t="s">
        <v>1358</v>
      </c>
      <c r="C20" s="577"/>
      <c r="D20" s="577"/>
      <c r="E20" s="577"/>
      <c r="F20" s="577"/>
      <c r="G20" s="577"/>
      <c r="H20" s="577"/>
      <c r="I20" s="577"/>
      <c r="J20" s="577"/>
      <c r="K20" s="577"/>
    </row>
    <row r="21" spans="2:12">
      <c r="B21" s="576" t="s">
        <v>1359</v>
      </c>
      <c r="C21" s="576"/>
      <c r="D21" s="576"/>
      <c r="E21" s="576"/>
      <c r="F21" s="576"/>
      <c r="G21" s="576"/>
      <c r="H21" s="576"/>
      <c r="I21" s="576"/>
      <c r="J21" s="576"/>
      <c r="K21" s="576"/>
      <c r="L21" s="132" t="s">
        <v>1274</v>
      </c>
    </row>
    <row r="22" spans="2:12">
      <c r="B22" s="576" t="s">
        <v>1360</v>
      </c>
      <c r="C22" s="576"/>
      <c r="D22" s="576"/>
      <c r="E22" s="576"/>
      <c r="F22" s="576"/>
      <c r="G22" s="576"/>
      <c r="H22" s="576"/>
      <c r="I22" s="576"/>
      <c r="J22" s="576"/>
      <c r="K22" s="576"/>
      <c r="L22" s="132" t="s">
        <v>1294</v>
      </c>
    </row>
    <row r="23" spans="2:12">
      <c r="B23" s="576" t="s">
        <v>1361</v>
      </c>
      <c r="C23" s="576"/>
      <c r="D23" s="576"/>
      <c r="E23" s="576"/>
      <c r="F23" s="576"/>
      <c r="G23" s="576"/>
      <c r="H23" s="576"/>
      <c r="I23" s="576"/>
      <c r="J23" s="576"/>
      <c r="K23" s="576"/>
      <c r="L23" s="132" t="s">
        <v>1274</v>
      </c>
    </row>
    <row r="24" spans="2:12">
      <c r="B24" s="576"/>
      <c r="C24" s="576"/>
      <c r="D24" s="576"/>
      <c r="E24" s="576"/>
      <c r="F24" s="576"/>
      <c r="G24" s="576"/>
      <c r="H24" s="576"/>
      <c r="I24" s="576"/>
      <c r="J24" s="576"/>
      <c r="K24" s="576"/>
    </row>
    <row r="25" spans="2:12">
      <c r="B25" s="577" t="s">
        <v>1347</v>
      </c>
      <c r="C25" s="577"/>
      <c r="D25" s="577"/>
      <c r="E25" s="577"/>
      <c r="F25" s="577"/>
      <c r="G25" s="577"/>
      <c r="H25" s="577"/>
      <c r="I25" s="577"/>
      <c r="J25" s="577"/>
      <c r="K25" s="577"/>
    </row>
    <row r="26" spans="2:12">
      <c r="B26" s="576" t="s">
        <v>1362</v>
      </c>
      <c r="C26" s="576"/>
      <c r="D26" s="576"/>
      <c r="E26" s="576"/>
      <c r="F26" s="576"/>
      <c r="G26" s="576"/>
      <c r="H26" s="576"/>
      <c r="I26" s="576"/>
      <c r="J26" s="576"/>
      <c r="K26" s="576"/>
      <c r="L26" s="132" t="s">
        <v>1274</v>
      </c>
    </row>
    <row r="27" spans="2:12">
      <c r="B27" s="576" t="s">
        <v>1363</v>
      </c>
      <c r="C27" s="576"/>
      <c r="D27" s="576"/>
      <c r="E27" s="576"/>
      <c r="F27" s="576"/>
      <c r="G27" s="576"/>
      <c r="H27" s="576"/>
      <c r="I27" s="576"/>
      <c r="J27" s="576"/>
      <c r="K27" s="576"/>
      <c r="L27" s="132" t="s">
        <v>1274</v>
      </c>
    </row>
    <row r="28" spans="2:12">
      <c r="B28" s="576" t="s">
        <v>1364</v>
      </c>
      <c r="C28" s="576"/>
      <c r="D28" s="576"/>
      <c r="E28" s="576"/>
      <c r="F28" s="576"/>
      <c r="G28" s="576"/>
      <c r="H28" s="576"/>
      <c r="I28" s="576"/>
      <c r="J28" s="576"/>
      <c r="K28" s="576"/>
      <c r="L28" s="132" t="s">
        <v>1274</v>
      </c>
    </row>
    <row r="29" spans="2:12">
      <c r="B29" s="576" t="s">
        <v>1365</v>
      </c>
      <c r="C29" s="576"/>
      <c r="D29" s="576"/>
      <c r="E29" s="576"/>
      <c r="F29" s="576"/>
      <c r="G29" s="576"/>
      <c r="H29" s="576"/>
      <c r="I29" s="576"/>
      <c r="J29" s="576"/>
      <c r="K29" s="576"/>
      <c r="L29" s="132" t="s">
        <v>1274</v>
      </c>
    </row>
    <row r="30" spans="2:12">
      <c r="B30" s="576"/>
      <c r="C30" s="576"/>
      <c r="D30" s="576"/>
      <c r="E30" s="576"/>
      <c r="F30" s="576"/>
      <c r="G30" s="576"/>
      <c r="H30" s="576"/>
      <c r="I30" s="576"/>
      <c r="J30" s="576"/>
      <c r="K30" s="576"/>
    </row>
    <row r="31" spans="2:12">
      <c r="B31" s="577" t="s">
        <v>1366</v>
      </c>
      <c r="C31" s="577"/>
      <c r="D31" s="577"/>
      <c r="E31" s="577"/>
      <c r="F31" s="577"/>
      <c r="G31" s="577"/>
      <c r="H31" s="577"/>
      <c r="I31" s="577"/>
      <c r="J31" s="577"/>
      <c r="K31" s="577"/>
    </row>
    <row r="32" spans="2:12">
      <c r="B32" s="576" t="s">
        <v>1367</v>
      </c>
      <c r="C32" s="576"/>
      <c r="D32" s="576"/>
      <c r="E32" s="576"/>
      <c r="F32" s="576"/>
      <c r="G32" s="576"/>
      <c r="H32" s="576"/>
      <c r="I32" s="576"/>
      <c r="J32" s="576"/>
      <c r="K32" s="576"/>
      <c r="L32" s="132" t="s">
        <v>1294</v>
      </c>
    </row>
    <row r="33" spans="2:12">
      <c r="B33" s="576"/>
      <c r="C33" s="576"/>
      <c r="D33" s="576"/>
      <c r="E33" s="576"/>
      <c r="F33" s="576"/>
      <c r="G33" s="576"/>
      <c r="H33" s="576"/>
      <c r="I33" s="576"/>
      <c r="J33" s="576"/>
      <c r="K33" s="576"/>
    </row>
    <row r="34" spans="2:12">
      <c r="B34" s="577" t="s">
        <v>832</v>
      </c>
      <c r="C34" s="577"/>
      <c r="D34" s="577"/>
      <c r="E34" s="577"/>
      <c r="F34" s="577"/>
      <c r="G34" s="577"/>
      <c r="H34" s="577"/>
      <c r="I34" s="577"/>
      <c r="J34" s="577"/>
      <c r="K34" s="577"/>
    </row>
    <row r="35" spans="2:12">
      <c r="B35" s="576" t="s">
        <v>1368</v>
      </c>
      <c r="C35" s="576"/>
      <c r="D35" s="576"/>
      <c r="E35" s="576"/>
      <c r="F35" s="576"/>
      <c r="G35" s="576"/>
      <c r="H35" s="576"/>
      <c r="I35" s="576"/>
      <c r="J35" s="576"/>
      <c r="K35" s="576"/>
      <c r="L35" s="132" t="s">
        <v>1274</v>
      </c>
    </row>
    <row r="36" spans="2:12">
      <c r="B36" s="576" t="s">
        <v>1369</v>
      </c>
      <c r="C36" s="576"/>
      <c r="D36" s="576"/>
      <c r="E36" s="576"/>
      <c r="F36" s="576"/>
      <c r="G36" s="576"/>
      <c r="H36" s="576"/>
      <c r="I36" s="576"/>
      <c r="J36" s="576"/>
      <c r="K36" s="576"/>
      <c r="L36" s="132" t="s">
        <v>1274</v>
      </c>
    </row>
    <row r="37" spans="2:12">
      <c r="B37" s="576"/>
      <c r="C37" s="576"/>
      <c r="D37" s="576"/>
      <c r="E37" s="576"/>
      <c r="F37" s="576"/>
      <c r="G37" s="576"/>
      <c r="H37" s="576"/>
      <c r="I37" s="576"/>
      <c r="J37" s="576"/>
      <c r="K37" s="576"/>
    </row>
    <row r="38" spans="2:12">
      <c r="B38" s="577" t="s">
        <v>840</v>
      </c>
      <c r="C38" s="577"/>
      <c r="D38" s="577"/>
      <c r="E38" s="577"/>
      <c r="F38" s="577"/>
      <c r="G38" s="577"/>
      <c r="H38" s="577"/>
      <c r="I38" s="577"/>
      <c r="J38" s="577"/>
      <c r="K38" s="577"/>
    </row>
    <row r="39" spans="2:12">
      <c r="B39" s="576" t="s">
        <v>1368</v>
      </c>
      <c r="C39" s="576"/>
      <c r="D39" s="576"/>
      <c r="E39" s="576"/>
      <c r="F39" s="576"/>
      <c r="G39" s="576"/>
      <c r="H39" s="576"/>
      <c r="I39" s="576"/>
      <c r="J39" s="576"/>
      <c r="K39" s="576"/>
      <c r="L39" s="132" t="s">
        <v>1274</v>
      </c>
    </row>
    <row r="40" spans="2:12">
      <c r="B40" s="576" t="s">
        <v>1369</v>
      </c>
      <c r="C40" s="576"/>
      <c r="D40" s="576"/>
      <c r="E40" s="576"/>
      <c r="F40" s="576"/>
      <c r="G40" s="576"/>
      <c r="H40" s="576"/>
      <c r="I40" s="576"/>
      <c r="J40" s="576"/>
      <c r="K40" s="576"/>
      <c r="L40" s="132" t="s">
        <v>1274</v>
      </c>
    </row>
    <row r="41" spans="2:12">
      <c r="B41" s="576"/>
      <c r="C41" s="576"/>
      <c r="D41" s="576"/>
      <c r="E41" s="576"/>
      <c r="F41" s="576"/>
      <c r="G41" s="576"/>
      <c r="H41" s="576"/>
      <c r="I41" s="576"/>
      <c r="J41" s="576"/>
      <c r="K41" s="576"/>
    </row>
    <row r="42" spans="2:12">
      <c r="B42" s="577" t="s">
        <v>1271</v>
      </c>
      <c r="C42" s="577"/>
      <c r="D42" s="577"/>
      <c r="E42" s="577"/>
      <c r="F42" s="577"/>
      <c r="G42" s="577"/>
      <c r="H42" s="577"/>
      <c r="I42" s="577"/>
      <c r="J42" s="577"/>
      <c r="K42" s="577"/>
    </row>
    <row r="43" spans="2:12">
      <c r="B43" s="576" t="s">
        <v>1368</v>
      </c>
      <c r="C43" s="576"/>
      <c r="D43" s="576"/>
      <c r="E43" s="576"/>
      <c r="F43" s="576"/>
      <c r="G43" s="576"/>
      <c r="H43" s="576"/>
      <c r="I43" s="576"/>
      <c r="J43" s="576"/>
      <c r="K43" s="576"/>
      <c r="L43" s="132" t="s">
        <v>1274</v>
      </c>
    </row>
    <row r="44" spans="2:12">
      <c r="B44" s="576" t="s">
        <v>1369</v>
      </c>
      <c r="C44" s="576"/>
      <c r="D44" s="576"/>
      <c r="E44" s="576"/>
      <c r="F44" s="576"/>
      <c r="G44" s="576"/>
      <c r="H44" s="576"/>
      <c r="I44" s="576"/>
      <c r="J44" s="576"/>
      <c r="K44" s="576"/>
      <c r="L44" s="132" t="s">
        <v>1274</v>
      </c>
    </row>
  </sheetData>
  <mergeCells count="42">
    <mergeCell ref="B44:K44"/>
    <mergeCell ref="B33:K33"/>
    <mergeCell ref="B34:K34"/>
    <mergeCell ref="B35:K35"/>
    <mergeCell ref="B36:K36"/>
    <mergeCell ref="B37:K37"/>
    <mergeCell ref="B38:K38"/>
    <mergeCell ref="B39:K39"/>
    <mergeCell ref="B40:K40"/>
    <mergeCell ref="B41:K41"/>
    <mergeCell ref="B42:K42"/>
    <mergeCell ref="B43:K43"/>
    <mergeCell ref="B32:K32"/>
    <mergeCell ref="B21:K21"/>
    <mergeCell ref="B22:K22"/>
    <mergeCell ref="B23:K23"/>
    <mergeCell ref="B24:K24"/>
    <mergeCell ref="B25:K25"/>
    <mergeCell ref="B26:K26"/>
    <mergeCell ref="B27:K27"/>
    <mergeCell ref="B28:K28"/>
    <mergeCell ref="B29:K29"/>
    <mergeCell ref="B30:K30"/>
    <mergeCell ref="B31:K31"/>
    <mergeCell ref="B20:K20"/>
    <mergeCell ref="B9:K9"/>
    <mergeCell ref="B10:K10"/>
    <mergeCell ref="B11:K11"/>
    <mergeCell ref="B12:K12"/>
    <mergeCell ref="B13:K13"/>
    <mergeCell ref="B14:K14"/>
    <mergeCell ref="B15:K15"/>
    <mergeCell ref="B16:K16"/>
    <mergeCell ref="B17:K17"/>
    <mergeCell ref="B18:K18"/>
    <mergeCell ref="B19:K19"/>
    <mergeCell ref="B8:K8"/>
    <mergeCell ref="B3:K3"/>
    <mergeCell ref="B4:K4"/>
    <mergeCell ref="B5:K5"/>
    <mergeCell ref="B6:K6"/>
    <mergeCell ref="B7:K7"/>
  </mergeCells>
  <conditionalFormatting sqref="L4:L100">
    <cfRule type="cellIs" dxfId="11" priority="12" operator="equal">
      <formula>"Yes"</formula>
    </cfRule>
  </conditionalFormatting>
  <conditionalFormatting sqref="L4">
    <cfRule type="cellIs" dxfId="10" priority="11" operator="equal">
      <formula>"No"</formula>
    </cfRule>
  </conditionalFormatting>
  <conditionalFormatting sqref="L7">
    <cfRule type="cellIs" dxfId="9" priority="10" operator="equal">
      <formula>"No"</formula>
    </cfRule>
  </conditionalFormatting>
  <conditionalFormatting sqref="L10">
    <cfRule type="cellIs" dxfId="8" priority="9" operator="equal">
      <formula>"No"</formula>
    </cfRule>
  </conditionalFormatting>
  <conditionalFormatting sqref="L10:L12">
    <cfRule type="cellIs" dxfId="7" priority="8" operator="equal">
      <formula>"No"</formula>
    </cfRule>
  </conditionalFormatting>
  <conditionalFormatting sqref="L15:L18">
    <cfRule type="cellIs" dxfId="6" priority="7" operator="equal">
      <formula>"No"</formula>
    </cfRule>
  </conditionalFormatting>
  <conditionalFormatting sqref="L21:L23">
    <cfRule type="cellIs" dxfId="5" priority="6" operator="equal">
      <formula>"No"</formula>
    </cfRule>
  </conditionalFormatting>
  <conditionalFormatting sqref="L26:L29">
    <cfRule type="cellIs" dxfId="4" priority="5" operator="equal">
      <formula>"No"</formula>
    </cfRule>
  </conditionalFormatting>
  <conditionalFormatting sqref="L32">
    <cfRule type="cellIs" dxfId="3" priority="4" operator="equal">
      <formula>"No"</formula>
    </cfRule>
  </conditionalFormatting>
  <conditionalFormatting sqref="L35:L36">
    <cfRule type="cellIs" dxfId="2" priority="3" operator="equal">
      <formula>"No"</formula>
    </cfRule>
  </conditionalFormatting>
  <conditionalFormatting sqref="L39:L40">
    <cfRule type="cellIs" dxfId="1" priority="2" operator="equal">
      <formula>"No"</formula>
    </cfRule>
  </conditionalFormatting>
  <conditionalFormatting sqref="L43:L44">
    <cfRule type="cellIs" dxfId="0" priority="1" operator="equal">
      <formula>"No"</formula>
    </cfRule>
  </conditionalFormatting>
  <dataValidations count="1">
    <dataValidation type="list" allowBlank="1" showInputMessage="1" showErrorMessage="1" sqref="L4 L7 L10:L12 L15:L18 L21:L23 L26:L29 L32 L35:L36 L39:L40 L43:L44">
      <formula1>"Yes, No"</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Template_P1</vt:lpstr>
      <vt:lpstr>Template_P2</vt:lpstr>
      <vt:lpstr>Template_P3</vt:lpstr>
      <vt:lpstr>Template_P4</vt:lpstr>
      <vt:lpstr>Graphs</vt:lpstr>
      <vt:lpstr>ID</vt:lpstr>
      <vt:lpstr>ED</vt:lpstr>
      <vt:lpstr>NED</vt:lpstr>
      <vt:lpstr>Chart Data</vt:lpstr>
      <vt:lpstr>Output</vt:lpstr>
      <vt:lpstr>Data</vt:lpstr>
      <vt:lpstr>Calculations_Sheet</vt:lpstr>
      <vt:lpstr>Input</vt:lpstr>
      <vt:lpstr>Peer_List</vt:lpstr>
      <vt:lpstr>QC Checklist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Ses-4</dc:creator>
  <cp:lastModifiedBy>Ravindra Singh Panwar</cp:lastModifiedBy>
  <cp:lastPrinted>2014-10-09T11:44:44Z</cp:lastPrinted>
  <dcterms:created xsi:type="dcterms:W3CDTF">2013-10-09T11:03:47Z</dcterms:created>
  <dcterms:modified xsi:type="dcterms:W3CDTF">2015-05-13T07:54:36Z</dcterms:modified>
</cp:coreProperties>
</file>