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lex/Desktop/iNovo-scratch/"/>
    </mc:Choice>
  </mc:AlternateContent>
  <xr:revisionPtr revIDLastSave="0" documentId="13_ncr:1_{5E2EFB6B-16D9-0B4A-A983-6690A931E278}" xr6:coauthVersionLast="36" xr6:coauthVersionMax="36" xr10:uidLastSave="{00000000-0000-0000-0000-000000000000}"/>
  <bookViews>
    <workbookView xWindow="8100" yWindow="500" windowWidth="18760" windowHeight="14760" xr2:uid="{BE776F8B-5F2C-8949-BC50-848B8A70FA5F}"/>
  </bookViews>
  <sheets>
    <sheet name="Sheet2" sheetId="2"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4" i="2" l="1"/>
  <c r="J64" i="2"/>
  <c r="I64" i="2"/>
  <c r="H64" i="2"/>
  <c r="G64" i="2"/>
  <c r="F64" i="2"/>
  <c r="E64" i="2"/>
  <c r="M4" i="2" l="1"/>
  <c r="N4" i="2"/>
  <c r="O4" i="2"/>
  <c r="P4" i="2"/>
  <c r="Q4" i="2"/>
  <c r="R4" i="2"/>
  <c r="S4" i="2"/>
  <c r="M5" i="2"/>
  <c r="N5" i="2"/>
  <c r="O5" i="2"/>
  <c r="P5" i="2"/>
  <c r="Q5" i="2"/>
  <c r="R5" i="2"/>
  <c r="S5" i="2"/>
  <c r="M6" i="2"/>
  <c r="N6" i="2"/>
  <c r="O6" i="2"/>
  <c r="P6" i="2"/>
  <c r="Q6" i="2"/>
  <c r="R6" i="2"/>
  <c r="S6" i="2"/>
  <c r="M7" i="2"/>
  <c r="N7" i="2"/>
  <c r="O7" i="2"/>
  <c r="P7" i="2"/>
  <c r="Q7" i="2"/>
  <c r="R7" i="2"/>
  <c r="S7" i="2"/>
  <c r="M8" i="2"/>
  <c r="N8" i="2"/>
  <c r="O8" i="2"/>
  <c r="P8" i="2"/>
  <c r="Q8" i="2"/>
  <c r="R8" i="2"/>
  <c r="S8" i="2"/>
  <c r="M9" i="2"/>
  <c r="N9" i="2"/>
  <c r="O9" i="2"/>
  <c r="P9" i="2"/>
  <c r="Q9" i="2"/>
  <c r="R9" i="2"/>
  <c r="S9" i="2"/>
  <c r="M10" i="2"/>
  <c r="N10" i="2"/>
  <c r="O10" i="2"/>
  <c r="P10" i="2"/>
  <c r="Q10" i="2"/>
  <c r="R10" i="2"/>
  <c r="S10" i="2"/>
  <c r="M11" i="2"/>
  <c r="N11" i="2"/>
  <c r="O11" i="2"/>
  <c r="P11" i="2"/>
  <c r="Q11" i="2"/>
  <c r="R11" i="2"/>
  <c r="S11" i="2"/>
  <c r="M12" i="2"/>
  <c r="N12" i="2"/>
  <c r="O12" i="2"/>
  <c r="P12" i="2"/>
  <c r="Q12" i="2"/>
  <c r="R12" i="2"/>
  <c r="S12" i="2"/>
  <c r="M13" i="2"/>
  <c r="N13" i="2"/>
  <c r="O13" i="2"/>
  <c r="P13" i="2"/>
  <c r="Q13" i="2"/>
  <c r="R13" i="2"/>
  <c r="S13" i="2"/>
  <c r="M14" i="2"/>
  <c r="N14" i="2"/>
  <c r="O14" i="2"/>
  <c r="P14" i="2"/>
  <c r="Q14" i="2"/>
  <c r="R14" i="2"/>
  <c r="S14" i="2"/>
  <c r="M15" i="2"/>
  <c r="N15" i="2"/>
  <c r="O15" i="2"/>
  <c r="P15" i="2"/>
  <c r="Q15" i="2"/>
  <c r="R15" i="2"/>
  <c r="S15" i="2"/>
  <c r="M16" i="2"/>
  <c r="N16" i="2"/>
  <c r="O16" i="2"/>
  <c r="P16" i="2"/>
  <c r="Q16" i="2"/>
  <c r="R16" i="2"/>
  <c r="S16" i="2"/>
  <c r="M17" i="2"/>
  <c r="N17" i="2"/>
  <c r="O17" i="2"/>
  <c r="P17" i="2"/>
  <c r="Q17" i="2"/>
  <c r="R17" i="2"/>
  <c r="S17" i="2"/>
  <c r="M18" i="2"/>
  <c r="N18" i="2"/>
  <c r="O18" i="2"/>
  <c r="P18" i="2"/>
  <c r="Q18" i="2"/>
  <c r="R18" i="2"/>
  <c r="S18" i="2"/>
  <c r="M19" i="2"/>
  <c r="N19" i="2"/>
  <c r="O19" i="2"/>
  <c r="P19" i="2"/>
  <c r="Q19" i="2"/>
  <c r="R19" i="2"/>
  <c r="S19" i="2"/>
  <c r="M20" i="2"/>
  <c r="N20" i="2"/>
  <c r="O20" i="2"/>
  <c r="P20" i="2"/>
  <c r="Q20" i="2"/>
  <c r="R20" i="2"/>
  <c r="S20" i="2"/>
  <c r="M21" i="2"/>
  <c r="N21" i="2"/>
  <c r="O21" i="2"/>
  <c r="P21" i="2"/>
  <c r="Q21" i="2"/>
  <c r="R21" i="2"/>
  <c r="S21" i="2"/>
  <c r="M22" i="2"/>
  <c r="N22" i="2"/>
  <c r="O22" i="2"/>
  <c r="P22" i="2"/>
  <c r="Q22" i="2"/>
  <c r="R22" i="2"/>
  <c r="S22" i="2"/>
  <c r="M23" i="2"/>
  <c r="N23" i="2"/>
  <c r="O23" i="2"/>
  <c r="P23" i="2"/>
  <c r="Q23" i="2"/>
  <c r="R23" i="2"/>
  <c r="S23" i="2"/>
  <c r="M24" i="2"/>
  <c r="N24" i="2"/>
  <c r="O24" i="2"/>
  <c r="P24" i="2"/>
  <c r="Q24" i="2"/>
  <c r="R24" i="2"/>
  <c r="S24" i="2"/>
  <c r="M25" i="2"/>
  <c r="N25" i="2"/>
  <c r="O25" i="2"/>
  <c r="P25" i="2"/>
  <c r="Q25" i="2"/>
  <c r="R25" i="2"/>
  <c r="S25" i="2"/>
  <c r="M26" i="2"/>
  <c r="N26" i="2"/>
  <c r="O26" i="2"/>
  <c r="P26" i="2"/>
  <c r="Q26" i="2"/>
  <c r="R26" i="2"/>
  <c r="S26" i="2"/>
  <c r="M27" i="2"/>
  <c r="N27" i="2"/>
  <c r="O27" i="2"/>
  <c r="P27" i="2"/>
  <c r="Q27" i="2"/>
  <c r="R27" i="2"/>
  <c r="S27" i="2"/>
  <c r="M28" i="2"/>
  <c r="N28" i="2"/>
  <c r="O28" i="2"/>
  <c r="P28" i="2"/>
  <c r="Q28" i="2"/>
  <c r="R28" i="2"/>
  <c r="S28" i="2"/>
  <c r="M29" i="2"/>
  <c r="N29" i="2"/>
  <c r="O29" i="2"/>
  <c r="P29" i="2"/>
  <c r="Q29" i="2"/>
  <c r="R29" i="2"/>
  <c r="S29" i="2"/>
  <c r="M30" i="2"/>
  <c r="N30" i="2"/>
  <c r="O30" i="2"/>
  <c r="P30" i="2"/>
  <c r="Q30" i="2"/>
  <c r="R30" i="2"/>
  <c r="S30" i="2"/>
  <c r="M31" i="2"/>
  <c r="N31" i="2"/>
  <c r="O31" i="2"/>
  <c r="P31" i="2"/>
  <c r="Q31" i="2"/>
  <c r="R31" i="2"/>
  <c r="S31" i="2"/>
  <c r="M32" i="2"/>
  <c r="N32" i="2"/>
  <c r="O32" i="2"/>
  <c r="P32" i="2"/>
  <c r="Q32" i="2"/>
  <c r="R32" i="2"/>
  <c r="S32" i="2"/>
  <c r="M33" i="2"/>
  <c r="N33" i="2"/>
  <c r="O33" i="2"/>
  <c r="P33" i="2"/>
  <c r="Q33" i="2"/>
  <c r="R33" i="2"/>
  <c r="S33" i="2"/>
  <c r="M34" i="2"/>
  <c r="N34" i="2"/>
  <c r="O34" i="2"/>
  <c r="P34" i="2"/>
  <c r="Q34" i="2"/>
  <c r="R34" i="2"/>
  <c r="S34" i="2"/>
  <c r="M35" i="2"/>
  <c r="N35" i="2"/>
  <c r="O35" i="2"/>
  <c r="P35" i="2"/>
  <c r="Q35" i="2"/>
  <c r="R35" i="2"/>
  <c r="S35" i="2"/>
  <c r="M36" i="2"/>
  <c r="N36" i="2"/>
  <c r="O36" i="2"/>
  <c r="P36" i="2"/>
  <c r="Q36" i="2"/>
  <c r="R36" i="2"/>
  <c r="S36" i="2"/>
  <c r="M37" i="2"/>
  <c r="N37" i="2"/>
  <c r="O37" i="2"/>
  <c r="P37" i="2"/>
  <c r="Q37" i="2"/>
  <c r="R37" i="2"/>
  <c r="S37" i="2"/>
  <c r="M38" i="2"/>
  <c r="N38" i="2"/>
  <c r="O38" i="2"/>
  <c r="P38" i="2"/>
  <c r="Q38" i="2"/>
  <c r="R38" i="2"/>
  <c r="S38" i="2"/>
  <c r="M39" i="2"/>
  <c r="M64" i="2" s="1"/>
  <c r="N39" i="2"/>
  <c r="O39" i="2"/>
  <c r="P39" i="2"/>
  <c r="Q39" i="2"/>
  <c r="R39" i="2"/>
  <c r="S39" i="2"/>
  <c r="M40" i="2"/>
  <c r="N40" i="2"/>
  <c r="O40" i="2"/>
  <c r="P40" i="2"/>
  <c r="Q40" i="2"/>
  <c r="R40" i="2"/>
  <c r="S40" i="2"/>
  <c r="M41" i="2"/>
  <c r="N41" i="2"/>
  <c r="O41" i="2"/>
  <c r="P41" i="2"/>
  <c r="Q41" i="2"/>
  <c r="R41" i="2"/>
  <c r="S41" i="2"/>
  <c r="M42" i="2"/>
  <c r="N42" i="2"/>
  <c r="O42" i="2"/>
  <c r="P42" i="2"/>
  <c r="Q42" i="2"/>
  <c r="R42" i="2"/>
  <c r="S42" i="2"/>
  <c r="M43" i="2"/>
  <c r="N43" i="2"/>
  <c r="O43" i="2"/>
  <c r="P43" i="2"/>
  <c r="Q43" i="2"/>
  <c r="R43" i="2"/>
  <c r="S43" i="2"/>
  <c r="M44" i="2"/>
  <c r="N44" i="2"/>
  <c r="O44" i="2"/>
  <c r="P44" i="2"/>
  <c r="Q44" i="2"/>
  <c r="R44" i="2"/>
  <c r="S44" i="2"/>
  <c r="M45" i="2"/>
  <c r="N45" i="2"/>
  <c r="O45" i="2"/>
  <c r="P45" i="2"/>
  <c r="Q45" i="2"/>
  <c r="R45" i="2"/>
  <c r="S45" i="2"/>
  <c r="M46" i="2"/>
  <c r="N46" i="2"/>
  <c r="O46" i="2"/>
  <c r="P46" i="2"/>
  <c r="Q46" i="2"/>
  <c r="R46" i="2"/>
  <c r="S46" i="2"/>
  <c r="M47" i="2"/>
  <c r="N47" i="2"/>
  <c r="O47" i="2"/>
  <c r="P47" i="2"/>
  <c r="Q47" i="2"/>
  <c r="R47" i="2"/>
  <c r="S47" i="2"/>
  <c r="M48" i="2"/>
  <c r="N48" i="2"/>
  <c r="O48" i="2"/>
  <c r="P48" i="2"/>
  <c r="Q48" i="2"/>
  <c r="R48" i="2"/>
  <c r="S48" i="2"/>
  <c r="M49" i="2"/>
  <c r="N49" i="2"/>
  <c r="O49" i="2"/>
  <c r="P49" i="2"/>
  <c r="Q49" i="2"/>
  <c r="R49" i="2"/>
  <c r="S49" i="2"/>
  <c r="M50" i="2"/>
  <c r="N50" i="2"/>
  <c r="O50" i="2"/>
  <c r="P50" i="2"/>
  <c r="Q50" i="2"/>
  <c r="R50" i="2"/>
  <c r="S50" i="2"/>
  <c r="M51" i="2"/>
  <c r="N51" i="2"/>
  <c r="O51" i="2"/>
  <c r="P51" i="2"/>
  <c r="Q51" i="2"/>
  <c r="R51" i="2"/>
  <c r="S51" i="2"/>
  <c r="M52" i="2"/>
  <c r="N52" i="2"/>
  <c r="O52" i="2"/>
  <c r="P52" i="2"/>
  <c r="Q52" i="2"/>
  <c r="R52" i="2"/>
  <c r="S52" i="2"/>
  <c r="M53" i="2"/>
  <c r="N53" i="2"/>
  <c r="O53" i="2"/>
  <c r="P53" i="2"/>
  <c r="Q53" i="2"/>
  <c r="R53" i="2"/>
  <c r="S53" i="2"/>
  <c r="M54" i="2"/>
  <c r="N54" i="2"/>
  <c r="O54" i="2"/>
  <c r="P54" i="2"/>
  <c r="Q54" i="2"/>
  <c r="R54" i="2"/>
  <c r="S54" i="2"/>
  <c r="M55" i="2"/>
  <c r="N55" i="2"/>
  <c r="O55" i="2"/>
  <c r="P55" i="2"/>
  <c r="Q55" i="2"/>
  <c r="R55" i="2"/>
  <c r="S55" i="2"/>
  <c r="M56" i="2"/>
  <c r="N56" i="2"/>
  <c r="O56" i="2"/>
  <c r="P56" i="2"/>
  <c r="Q56" i="2"/>
  <c r="R56" i="2"/>
  <c r="S56" i="2"/>
  <c r="M57" i="2"/>
  <c r="N57" i="2"/>
  <c r="O57" i="2"/>
  <c r="P57" i="2"/>
  <c r="Q57" i="2"/>
  <c r="R57" i="2"/>
  <c r="S57" i="2"/>
  <c r="M58" i="2"/>
  <c r="N58" i="2"/>
  <c r="O58" i="2"/>
  <c r="P58" i="2"/>
  <c r="Q58" i="2"/>
  <c r="R58" i="2"/>
  <c r="S58" i="2"/>
  <c r="M59" i="2"/>
  <c r="N59" i="2"/>
  <c r="O59" i="2"/>
  <c r="P59" i="2"/>
  <c r="Q59" i="2"/>
  <c r="R59" i="2"/>
  <c r="S59" i="2"/>
  <c r="M60" i="2"/>
  <c r="N60" i="2"/>
  <c r="O60" i="2"/>
  <c r="P60" i="2"/>
  <c r="Q60" i="2"/>
  <c r="R60" i="2"/>
  <c r="S60" i="2"/>
  <c r="M61" i="2"/>
  <c r="N61" i="2"/>
  <c r="O61" i="2"/>
  <c r="P61" i="2"/>
  <c r="Q61" i="2"/>
  <c r="R61" i="2"/>
  <c r="S61" i="2"/>
  <c r="M62" i="2"/>
  <c r="N62" i="2"/>
  <c r="O62" i="2"/>
  <c r="P62" i="2"/>
  <c r="Q62" i="2"/>
  <c r="R62" i="2"/>
  <c r="S62" i="2"/>
  <c r="AJ13" i="2"/>
  <c r="AJ14" i="2"/>
  <c r="AJ16" i="2"/>
  <c r="AJ25" i="2"/>
  <c r="AK25" i="2" s="1"/>
  <c r="AJ26" i="2"/>
  <c r="AJ24" i="2"/>
  <c r="AK24" i="2" s="1"/>
  <c r="AH26" i="2"/>
  <c r="AI26" i="2" s="1"/>
  <c r="AI25" i="2"/>
  <c r="AI24" i="2"/>
  <c r="AJ15" i="2"/>
  <c r="W39" i="2"/>
  <c r="X38" i="2" s="1"/>
  <c r="AC28" i="2"/>
  <c r="AC29" i="2"/>
  <c r="AC30" i="2"/>
  <c r="AC27" i="2"/>
  <c r="AJ5" i="2"/>
  <c r="AJ4" i="2"/>
  <c r="AJ3" i="2"/>
  <c r="AK26" i="2" l="1"/>
  <c r="AI27" i="2"/>
  <c r="AL24" i="2" s="1"/>
  <c r="AM24" i="2" s="1"/>
  <c r="X36" i="2"/>
  <c r="X35" i="2"/>
  <c r="AJ6" i="2"/>
  <c r="AJ8" i="2" s="1"/>
  <c r="AJ17" i="2"/>
  <c r="AK16" i="2" s="1"/>
  <c r="AL16" i="2" s="1"/>
  <c r="X37" i="2"/>
  <c r="AA37" i="2" s="1"/>
  <c r="AB37" i="2" s="1"/>
  <c r="AC37" i="2" s="1"/>
  <c r="AD37" i="2" s="1"/>
  <c r="AC4" i="2"/>
  <c r="AC5" i="2"/>
  <c r="AC6" i="2"/>
  <c r="AC7" i="2"/>
  <c r="AC8" i="2"/>
  <c r="AC9" i="2"/>
  <c r="AC10" i="2"/>
  <c r="AC11" i="2"/>
  <c r="AC12" i="2"/>
  <c r="AC13" i="2"/>
  <c r="AC14" i="2"/>
  <c r="AC15" i="2"/>
  <c r="AC16" i="2"/>
  <c r="AC17" i="2"/>
  <c r="AC18" i="2"/>
  <c r="AC19" i="2"/>
  <c r="AC20" i="2"/>
  <c r="AC21" i="2"/>
  <c r="AC22" i="2"/>
  <c r="AC3" i="2"/>
  <c r="AA36" i="2" l="1"/>
  <c r="AB36" i="2" s="1"/>
  <c r="AC36" i="2" s="1"/>
  <c r="AD36" i="2" s="1"/>
  <c r="AL26" i="2"/>
  <c r="AM26" i="2" s="1"/>
  <c r="AK13" i="2"/>
  <c r="AL13" i="2" s="1"/>
  <c r="AK14" i="2"/>
  <c r="AL14" i="2" s="1"/>
  <c r="AK15" i="2"/>
  <c r="AL15" i="2" s="1"/>
  <c r="AL25" i="2"/>
  <c r="AM25" i="2" s="1"/>
  <c r="AA35" i="2"/>
  <c r="AB35" i="2" s="1"/>
  <c r="AC35" i="2" s="1"/>
  <c r="AA38" i="2"/>
  <c r="AB38" i="2" s="1"/>
  <c r="AC38" i="2" s="1"/>
  <c r="AD38" i="2" s="1"/>
  <c r="K65" i="2"/>
  <c r="J65" i="2"/>
  <c r="I65" i="2"/>
  <c r="H65" i="2"/>
  <c r="G65" i="2"/>
  <c r="F65" i="2"/>
  <c r="E65" i="2"/>
  <c r="S3" i="2"/>
  <c r="R3" i="2"/>
  <c r="Q3" i="2"/>
  <c r="P3" i="2"/>
  <c r="O3" i="2"/>
  <c r="N3" i="2"/>
  <c r="M3" i="2"/>
  <c r="AL17" i="2" l="1"/>
  <c r="AB39" i="2"/>
  <c r="AD35" i="2"/>
  <c r="AD39" i="2" s="1"/>
  <c r="S64" i="2"/>
  <c r="E66" i="2"/>
  <c r="O64" i="2"/>
  <c r="R64" i="2"/>
  <c r="Q64" i="2"/>
  <c r="P64" i="2"/>
  <c r="N64" i="2"/>
</calcChain>
</file>

<file path=xl/sharedStrings.xml><?xml version="1.0" encoding="utf-8"?>
<sst xmlns="http://schemas.openxmlformats.org/spreadsheetml/2006/main" count="314" uniqueCount="274">
  <si>
    <t>Biomass Equation</t>
  </si>
  <si>
    <t>Protein</t>
  </si>
  <si>
    <t>C00018</t>
  </si>
  <si>
    <t>Pyridoxal phosphate</t>
  </si>
  <si>
    <t>Amino acid</t>
  </si>
  <si>
    <t>MW</t>
  </si>
  <si>
    <t>MW in polymer</t>
  </si>
  <si>
    <t>mol/mol of protein</t>
  </si>
  <si>
    <t>g/mol of protein</t>
  </si>
  <si>
    <t>g/g of protein</t>
  </si>
  <si>
    <t>mmol/gDW</t>
  </si>
  <si>
    <t>WT%</t>
  </si>
  <si>
    <t>Total mmol</t>
  </si>
  <si>
    <t>mmol ~P/mmol</t>
  </si>
  <si>
    <t>Total</t>
  </si>
  <si>
    <t>C11378</t>
  </si>
  <si>
    <t>Ubiquinone-10</t>
  </si>
  <si>
    <t>Totals for Ala (A)</t>
  </si>
  <si>
    <t>C00016</t>
  </si>
  <si>
    <t>FAD</t>
  </si>
  <si>
    <t>Totals for Arg (R)</t>
  </si>
  <si>
    <t>DNA</t>
  </si>
  <si>
    <t>C00255</t>
  </si>
  <si>
    <t>Riboflavin</t>
  </si>
  <si>
    <t>Totals for Asn (N)</t>
  </si>
  <si>
    <t>RNA</t>
  </si>
  <si>
    <t>C05921</t>
  </si>
  <si>
    <t>Biotinyl-5'-AMP</t>
  </si>
  <si>
    <t>Totals for Asp (D)</t>
  </si>
  <si>
    <t>C00073</t>
  </si>
  <si>
    <t>L-Methionine</t>
  </si>
  <si>
    <t>Totals for Cys (C)</t>
  </si>
  <si>
    <r>
      <t>Additional GAM cost estimated from</t>
    </r>
    <r>
      <rPr>
        <i/>
        <sz val="10"/>
        <rFont val="Arial"/>
        <family val="2"/>
      </rPr>
      <t xml:space="preserve"> E. coli</t>
    </r>
  </si>
  <si>
    <t>C15672</t>
  </si>
  <si>
    <t>Heme O</t>
  </si>
  <si>
    <t>Totals for Gln (Q)</t>
  </si>
  <si>
    <t>C00692</t>
  </si>
  <si>
    <t>UDP-N-acetylmuramoyl-L-alanyl-D-glutamate</t>
  </si>
  <si>
    <t>Totals for Glu (E)</t>
  </si>
  <si>
    <t>g protein/mol protein</t>
  </si>
  <si>
    <t>C00051</t>
  </si>
  <si>
    <t>Glutathione</t>
  </si>
  <si>
    <t>Totals for Gly (G)</t>
  </si>
  <si>
    <t>C06098</t>
  </si>
  <si>
    <t>Zeaxanthin</t>
  </si>
  <si>
    <t>Totals for His (H)</t>
  </si>
  <si>
    <t>C00350</t>
  </si>
  <si>
    <t>Phosphatidylethanolamine</t>
  </si>
  <si>
    <t>Totals for Ile (I)</t>
  </si>
  <si>
    <t>C05980</t>
  </si>
  <si>
    <t>Cardiolipin</t>
  </si>
  <si>
    <t>Totals for Leu (L)</t>
  </si>
  <si>
    <t>C00344</t>
  </si>
  <si>
    <t>Phosphatidylglycerol</t>
  </si>
  <si>
    <t>Totals for Lys (K)</t>
  </si>
  <si>
    <t>C04574</t>
  </si>
  <si>
    <t>di-trans,poly-cis-Undecaprenyl diphosphate</t>
  </si>
  <si>
    <t>Totals for Met (M)</t>
  </si>
  <si>
    <t>C00131</t>
  </si>
  <si>
    <t>dATP</t>
  </si>
  <si>
    <t>Totals for Phe (F)</t>
  </si>
  <si>
    <t>C00037</t>
  </si>
  <si>
    <t>Glycine</t>
  </si>
  <si>
    <t>Totals for Pro (P)</t>
  </si>
  <si>
    <t>C00315</t>
  </si>
  <si>
    <t>Spermidine</t>
  </si>
  <si>
    <t>Totals for Ser (S)</t>
  </si>
  <si>
    <t>C00440</t>
  </si>
  <si>
    <t>5-Methyltetrahydrofolate</t>
  </si>
  <si>
    <t>Totals for Thr (T)</t>
  </si>
  <si>
    <t>C00062</t>
  </si>
  <si>
    <t>L-Arginine</t>
  </si>
  <si>
    <t>Totals for Trp (W)</t>
  </si>
  <si>
    <t>C00019</t>
  </si>
  <si>
    <t>S-Adenosyl-L-methionine</t>
  </si>
  <si>
    <t>Totals for Tyr (Y)</t>
  </si>
  <si>
    <t>C00148</t>
  </si>
  <si>
    <t>L-Proline</t>
  </si>
  <si>
    <t>Totals for Val (V)</t>
  </si>
  <si>
    <t>C00097</t>
  </si>
  <si>
    <t>L-Cysteine</t>
  </si>
  <si>
    <t>C00135</t>
  </si>
  <si>
    <t>Histidine</t>
  </si>
  <si>
    <t>C00082</t>
  </si>
  <si>
    <t>Tyrosine</t>
  </si>
  <si>
    <t>C00075</t>
  </si>
  <si>
    <t>UTP</t>
  </si>
  <si>
    <t>C00002</t>
  </si>
  <si>
    <t>ATP</t>
  </si>
  <si>
    <t>Nucleotides</t>
  </si>
  <si>
    <t>% composition</t>
  </si>
  <si>
    <t>mol/mol of RNA</t>
  </si>
  <si>
    <t>g/mol of RNA</t>
  </si>
  <si>
    <t>g/g of RNA</t>
  </si>
  <si>
    <t>C00047</t>
  </si>
  <si>
    <t>Lysine</t>
  </si>
  <si>
    <t>C00091</t>
  </si>
  <si>
    <t>Succinyl-CoA</t>
  </si>
  <si>
    <t>GTP</t>
  </si>
  <si>
    <t>C00024</t>
  </si>
  <si>
    <t>Acetyl-CoA</t>
  </si>
  <si>
    <t>CTP</t>
  </si>
  <si>
    <t>C00010</t>
  </si>
  <si>
    <t>CoA</t>
  </si>
  <si>
    <t>C00103</t>
  </si>
  <si>
    <t>alpha-D-Glucose 1-phosphate</t>
  </si>
  <si>
    <t>C00063</t>
  </si>
  <si>
    <t>C00458</t>
  </si>
  <si>
    <t>dCTP</t>
  </si>
  <si>
    <t>C00459</t>
  </si>
  <si>
    <t>dTTP</t>
  </si>
  <si>
    <t>C00044</t>
  </si>
  <si>
    <t>Nucleotide</t>
  </si>
  <si>
    <t>Number of bases</t>
  </si>
  <si>
    <t>mol/mol of DNA</t>
  </si>
  <si>
    <t>g/mol of DNA</t>
  </si>
  <si>
    <t>g/g of DNA</t>
  </si>
  <si>
    <t>C00286</t>
  </si>
  <si>
    <t>dGTP</t>
  </si>
  <si>
    <t xml:space="preserve">dATP </t>
  </si>
  <si>
    <t>C00206</t>
  </si>
  <si>
    <t>dADP</t>
  </si>
  <si>
    <t xml:space="preserve">dTTP </t>
  </si>
  <si>
    <t>C00020</t>
  </si>
  <si>
    <t>Adenosine 5'-monophosphate</t>
  </si>
  <si>
    <t xml:space="preserve">dGTP </t>
  </si>
  <si>
    <t>C00068</t>
  </si>
  <si>
    <t>Thiamin diphosphate</t>
  </si>
  <si>
    <t>C00025</t>
  </si>
  <si>
    <t>L-glutamate</t>
  </si>
  <si>
    <t>C00064</t>
  </si>
  <si>
    <t>L-glutamine</t>
  </si>
  <si>
    <t>C00041</t>
  </si>
  <si>
    <t>Alanine</t>
  </si>
  <si>
    <t>C00049</t>
  </si>
  <si>
    <t>L-Aspartate</t>
  </si>
  <si>
    <t>C00152</t>
  </si>
  <si>
    <t>Asparagine</t>
  </si>
  <si>
    <t>Lipids (excluding pigments)</t>
  </si>
  <si>
    <t>% composition (photo)*</t>
  </si>
  <si>
    <t>mol/mol of Lipid</t>
  </si>
  <si>
    <t>g/mol of Lipid</t>
  </si>
  <si>
    <t>g/g of Lipid</t>
  </si>
  <si>
    <t>C00065</t>
  </si>
  <si>
    <t>Serine</t>
  </si>
  <si>
    <t>C00078</t>
  </si>
  <si>
    <t>Tryptophan</t>
  </si>
  <si>
    <t>C00188</t>
  </si>
  <si>
    <t>Threonine</t>
  </si>
  <si>
    <t>Phosphatidylcholine</t>
  </si>
  <si>
    <t>C00407</t>
  </si>
  <si>
    <t>L-isoleucine</t>
  </si>
  <si>
    <t>C00183</t>
  </si>
  <si>
    <t>L-valine</t>
  </si>
  <si>
    <t>C00123</t>
  </si>
  <si>
    <t>L-leucine</t>
  </si>
  <si>
    <t>C00079</t>
  </si>
  <si>
    <t>Phenylalanine</t>
  </si>
  <si>
    <t>others</t>
  </si>
  <si>
    <t>C00008</t>
  </si>
  <si>
    <t>ADP</t>
  </si>
  <si>
    <t>C00009</t>
  </si>
  <si>
    <t>Orthophosphate</t>
  </si>
  <si>
    <t>C00001</t>
  </si>
  <si>
    <t>water</t>
  </si>
  <si>
    <t>Fatty acids</t>
  </si>
  <si>
    <t>MW upon incorporation</t>
  </si>
  <si>
    <t>weighted contribution</t>
  </si>
  <si>
    <t>C00013</t>
  </si>
  <si>
    <t>Diphosphate</t>
  </si>
  <si>
    <t>C00157</t>
  </si>
  <si>
    <t>Compound ID</t>
  </si>
  <si>
    <t>Name</t>
  </si>
  <si>
    <t>mmol in biomass</t>
  </si>
  <si>
    <t>C</t>
  </si>
  <si>
    <t>H</t>
  </si>
  <si>
    <t>N</t>
  </si>
  <si>
    <t>O</t>
  </si>
  <si>
    <t>P</t>
  </si>
  <si>
    <t>C06424</t>
  </si>
  <si>
    <t>C00249</t>
  </si>
  <si>
    <t>C01530</t>
  </si>
  <si>
    <t>SGL-1</t>
  </si>
  <si>
    <t>H2O</t>
  </si>
  <si>
    <t>C10H16N5O13P3</t>
  </si>
  <si>
    <t>C10H15N5O10P2</t>
  </si>
  <si>
    <t>H3PO4</t>
  </si>
  <si>
    <t>C21H36N7O16P3S</t>
  </si>
  <si>
    <t>H4P2O7</t>
  </si>
  <si>
    <t>C27H33N9O15P2</t>
  </si>
  <si>
    <t>C8H10NO6P</t>
  </si>
  <si>
    <t>C15H22N6O5S</t>
  </si>
  <si>
    <t>C10H14N5O7P</t>
  </si>
  <si>
    <t>C23H38N7O17P3S</t>
  </si>
  <si>
    <t>C5H9NO4</t>
  </si>
  <si>
    <t>C2H5NO2</t>
  </si>
  <si>
    <t>C3H7NO2</t>
  </si>
  <si>
    <t>C10H16N5O14P3</t>
  </si>
  <si>
    <t>C6H14N2O2</t>
  </si>
  <si>
    <t>C4H7NO4</t>
  </si>
  <si>
    <t>C10H17N3O6S</t>
  </si>
  <si>
    <t>C6H14N4O2</t>
  </si>
  <si>
    <t>C9H16N3O14P3</t>
  </si>
  <si>
    <t>C5H10N2O3</t>
  </si>
  <si>
    <t>C3H7NO3</t>
  </si>
  <si>
    <t>C12H19N4O7P2S</t>
  </si>
  <si>
    <t>C5H11NO2S</t>
  </si>
  <si>
    <t>C9H15N2O15P3</t>
  </si>
  <si>
    <t>C11H12N2O2</t>
  </si>
  <si>
    <t>C9H11NO2</t>
  </si>
  <si>
    <t>C9H11NO3</t>
  </si>
  <si>
    <t>S</t>
  </si>
  <si>
    <t>C25H40N7O19P3S</t>
  </si>
  <si>
    <t>C3H7NO2S</t>
  </si>
  <si>
    <t>C6H13O9P</t>
  </si>
  <si>
    <t>C6H13NO2</t>
  </si>
  <si>
    <t>C10H16N5O12P3</t>
  </si>
  <si>
    <t>C6H9N3O2</t>
  </si>
  <si>
    <t>C5H9NO2</t>
  </si>
  <si>
    <t>C4H8N2O3</t>
  </si>
  <si>
    <t>C10H18NO8PR2</t>
  </si>
  <si>
    <t>C5H11NO2</t>
  </si>
  <si>
    <t>C4H9NO3</t>
  </si>
  <si>
    <t>C10H15N5O9P2</t>
  </si>
  <si>
    <t>C16H32O2</t>
  </si>
  <si>
    <t>Hexadecanoic acid</t>
  </si>
  <si>
    <t>C17H20N4O6</t>
  </si>
  <si>
    <t>C7H19N3</t>
  </si>
  <si>
    <t>C8H13O10PR2</t>
  </si>
  <si>
    <t>C7H12NO8PR2</t>
  </si>
  <si>
    <t>C20H25N7O6</t>
  </si>
  <si>
    <t>C9H16N3O13P3</t>
  </si>
  <si>
    <t>C10H17N2O14P3</t>
  </si>
  <si>
    <t>C28H43N5O23P2</t>
  </si>
  <si>
    <t>C18H36O2</t>
  </si>
  <si>
    <t>Octadecanoic acid</t>
  </si>
  <si>
    <t>C55H92O7P2</t>
  </si>
  <si>
    <t>C20H28N7O9PS</t>
  </si>
  <si>
    <t>C13H18O17P2R4</t>
  </si>
  <si>
    <t>C40H56O2</t>
  </si>
  <si>
    <t>C14H28O2</t>
  </si>
  <si>
    <t>Tetradecanoic acid</t>
  </si>
  <si>
    <t>C59H90O4</t>
  </si>
  <si>
    <t>Fe</t>
  </si>
  <si>
    <t>C49H58FeN4O5</t>
  </si>
  <si>
    <t>C43H86NO13</t>
  </si>
  <si>
    <t>Formula</t>
  </si>
  <si>
    <t>Source</t>
  </si>
  <si>
    <t>total mmol</t>
  </si>
  <si>
    <t>total g</t>
  </si>
  <si>
    <t>total g biomass</t>
  </si>
  <si>
    <t>Reference</t>
  </si>
  <si>
    <t>2. Peterson JD, Umayam LA, Dickinson T, Hickey EK, White O. The Comprehensive Microbial Resource. Nucleic Acids Res. 2001 Jan 1;29(1):123-5. PubMed PMID: 11125067; PubMed Central PMCID: PMC29848.</t>
  </si>
  <si>
    <t>1. Imam S, Yilmaz S, Sohmen U, Gorzalski AS, Reed JL, Noguera DR, Donohue TJ. iRsp1095: a genome-scale reconstruction of the Rhodobacter sphaeroides metabolic network. BMC systems biology. 2011 Dec;5(1):1-7.</t>
  </si>
  <si>
    <t>total</t>
  </si>
  <si>
    <t>average fatty acid weight</t>
  </si>
  <si>
    <t>16:0 (Hexadecanoic acid)</t>
  </si>
  <si>
    <t>18:1 (Octadecanoic acid)</t>
  </si>
  <si>
    <t>14:0 (Tetradecanoic acid)</t>
  </si>
  <si>
    <t>mol/mol of lipid</t>
  </si>
  <si>
    <t>g/mol of lipid</t>
  </si>
  <si>
    <t>g/g of lipid</t>
  </si>
  <si>
    <t>Measured phospholipids</t>
  </si>
  <si>
    <t>0.0725 g/gDW</t>
  </si>
  <si>
    <t>3. Takeuchi M, Hamana K, Hiraishi A. Proposal of the genus Sphingomonas sensu stricto and three new genera, Sphingobium, Novosphingobium and Sphingopyxis, on the basis of phylogenetic and chemotaxonomic analyses. International Journal of Systematic and Evolutionary Microbiology. 2001 Jul 1;51(4):1405-17.</t>
  </si>
  <si>
    <t>Fatty acids (5% of gDW) [Calculations from Imam, et al. 2011, data from Takeuchi, et al. 2001]</t>
  </si>
  <si>
    <t>GAM (Growth associated maintenance) [Calculations and data from Imam, et al. 2011 and laboratory measurements]</t>
  </si>
  <si>
    <t>Phospholipids/Sulfolipids [Calculations and data from Imam, et al. 2011 and laboratory measurements]</t>
  </si>
  <si>
    <t>Protein [Calculations from Imam et al. 2011, data from Peterson, et al. 2001 and laboratory measurements]</t>
  </si>
  <si>
    <t>RNA  [Calculations from Imam et al. 2011, data from Peterson, et al. 2001 and laboratory measurements]</t>
  </si>
  <si>
    <t>DNA  [Calculations from Imam et al. 2011, data from Peterson, et al. 2001 and laboratory measurements]</t>
  </si>
  <si>
    <t>4. Harrison PJ, Dunn TM, Campopiano DJ. Sphingolipid biosynthesis in man and microbes. Natural product reports. 2018;35(9):921-54.</t>
  </si>
  <si>
    <t>sphingoglycolipid*</t>
  </si>
  <si>
    <t>*sphingoglycolipid pathway from Harrison et al. 2018; value is equivalent to amount of LPS in the aerobic Rhodobacter biomass equation from Imam et al.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</si>
</sst>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2"/>
      <color theme="1"/>
      <name val="Calibri"/>
      <family val="2"/>
      <scheme val="minor"/>
    </font>
    <font>
      <b/>
      <sz val="12"/>
      <color theme="1"/>
      <name val="Calibri"/>
      <family val="2"/>
      <scheme val="minor"/>
    </font>
    <font>
      <b/>
      <sz val="10"/>
      <name val="Arial"/>
      <family val="2"/>
    </font>
    <font>
      <sz val="10"/>
      <name val="Arial"/>
      <family val="2"/>
      <charset val="1"/>
    </font>
    <font>
      <i/>
      <sz val="10"/>
      <name val="Arial"/>
      <family val="2"/>
    </font>
    <font>
      <sz val="10"/>
      <color rgb="FF000000"/>
      <name val="Arial"/>
      <family val="2"/>
    </font>
    <font>
      <sz val="12"/>
      <color theme="1"/>
      <name val="Helvetica"/>
      <family val="2"/>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2" fillId="0" borderId="0" xfId="0" applyFont="1"/>
    <xf numFmtId="164" fontId="2" fillId="0" borderId="0" xfId="0" applyNumberFormat="1" applyFont="1"/>
    <xf numFmtId="0" fontId="0" fillId="0" borderId="0" xfId="0" applyNumberFormat="1"/>
    <xf numFmtId="0" fontId="0" fillId="0" borderId="0" xfId="0" applyFont="1"/>
    <xf numFmtId="49" fontId="0" fillId="0" borderId="0" xfId="0" applyNumberFormat="1"/>
    <xf numFmtId="0" fontId="0" fillId="0" borderId="0" xfId="0" applyFont="1" applyAlignment="1">
      <alignment wrapText="1"/>
    </xf>
    <xf numFmtId="0" fontId="3" fillId="0" borderId="0" xfId="0" applyFont="1"/>
    <xf numFmtId="0" fontId="3" fillId="0" borderId="0" xfId="0" applyNumberFormat="1" applyFont="1"/>
    <xf numFmtId="0" fontId="3" fillId="0" borderId="0" xfId="0" applyFont="1" applyAlignment="1">
      <alignment wrapText="1"/>
    </xf>
    <xf numFmtId="0" fontId="5" fillId="0" borderId="0" xfId="0" applyFont="1"/>
    <xf numFmtId="0" fontId="6" fillId="0" borderId="0" xfId="0" applyFont="1"/>
    <xf numFmtId="10" fontId="5" fillId="0" borderId="0" xfId="0" applyNumberFormat="1" applyFont="1"/>
    <xf numFmtId="10" fontId="0" fillId="0" borderId="0" xfId="0" applyNumberFormat="1"/>
    <xf numFmtId="2" fontId="5" fillId="0" borderId="0" xfId="0" applyNumberFormat="1" applyFont="1"/>
    <xf numFmtId="0" fontId="0" fillId="0" borderId="0" xfId="0" applyFill="1"/>
    <xf numFmtId="0" fontId="0" fillId="0" borderId="0" xfId="0" applyFont="1" applyFill="1" applyAlignme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C9828-740B-E44A-91B2-531C52C67092}">
  <dimension ref="A1:AM66"/>
  <sheetViews>
    <sheetView tabSelected="1" workbookViewId="0">
      <selection activeCell="M67" sqref="M67"/>
    </sheetView>
  </sheetViews>
  <sheetFormatPr baseColWidth="10" defaultRowHeight="16" x14ac:dyDescent="0.2"/>
  <cols>
    <col min="3" max="3" width="18" customWidth="1"/>
    <col min="4" max="4" width="16" customWidth="1"/>
    <col min="11" max="11" width="12.1640625" bestFit="1" customWidth="1"/>
    <col min="22" max="22" width="18.6640625" customWidth="1"/>
    <col min="32" max="32" width="13.83203125" customWidth="1"/>
    <col min="38" max="38" width="12.1640625" bestFit="1" customWidth="1"/>
  </cols>
  <sheetData>
    <row r="1" spans="1:39" x14ac:dyDescent="0.2">
      <c r="A1" s="1" t="s">
        <v>0</v>
      </c>
      <c r="V1" s="18" t="s">
        <v>268</v>
      </c>
      <c r="W1" s="12"/>
      <c r="X1" s="12"/>
      <c r="Y1" s="12"/>
      <c r="Z1" s="12"/>
      <c r="AA1" s="12"/>
      <c r="AB1" s="12"/>
      <c r="AC1" s="12"/>
      <c r="AF1" s="2" t="s">
        <v>266</v>
      </c>
      <c r="AJ1" s="2"/>
      <c r="AL1" t="s">
        <v>251</v>
      </c>
    </row>
    <row r="2" spans="1:39" x14ac:dyDescent="0.2">
      <c r="A2" t="s">
        <v>171</v>
      </c>
      <c r="B2" t="s">
        <v>173</v>
      </c>
      <c r="C2" t="s">
        <v>172</v>
      </c>
      <c r="D2" t="s">
        <v>246</v>
      </c>
      <c r="E2" t="s">
        <v>174</v>
      </c>
      <c r="F2" t="s">
        <v>175</v>
      </c>
      <c r="G2" t="s">
        <v>176</v>
      </c>
      <c r="H2" t="s">
        <v>177</v>
      </c>
      <c r="I2" t="s">
        <v>178</v>
      </c>
      <c r="J2" t="s">
        <v>211</v>
      </c>
      <c r="K2" t="s">
        <v>243</v>
      </c>
      <c r="L2" t="s">
        <v>247</v>
      </c>
      <c r="M2" t="s">
        <v>174</v>
      </c>
      <c r="N2" t="s">
        <v>175</v>
      </c>
      <c r="O2" t="s">
        <v>176</v>
      </c>
      <c r="P2" t="s">
        <v>177</v>
      </c>
      <c r="Q2" t="s">
        <v>178</v>
      </c>
      <c r="R2" t="s">
        <v>211</v>
      </c>
      <c r="S2" t="s">
        <v>243</v>
      </c>
      <c r="V2" s="11" t="s">
        <v>4</v>
      </c>
      <c r="W2" s="11" t="s">
        <v>90</v>
      </c>
      <c r="X2" s="11" t="s">
        <v>5</v>
      </c>
      <c r="Y2" s="11" t="s">
        <v>6</v>
      </c>
      <c r="Z2" s="11" t="s">
        <v>7</v>
      </c>
      <c r="AA2" s="11" t="s">
        <v>8</v>
      </c>
      <c r="AB2" s="11" t="s">
        <v>9</v>
      </c>
      <c r="AC2" s="11" t="s">
        <v>10</v>
      </c>
      <c r="AF2" s="2"/>
      <c r="AG2" s="2" t="s">
        <v>11</v>
      </c>
      <c r="AH2" s="2" t="s">
        <v>12</v>
      </c>
      <c r="AI2" s="2" t="s">
        <v>13</v>
      </c>
      <c r="AJ2" s="2" t="s">
        <v>14</v>
      </c>
      <c r="AL2" t="s">
        <v>253</v>
      </c>
    </row>
    <row r="3" spans="1:39" x14ac:dyDescent="0.2">
      <c r="A3" t="s">
        <v>163</v>
      </c>
      <c r="B3">
        <v>47.41</v>
      </c>
      <c r="C3" t="s">
        <v>164</v>
      </c>
      <c r="D3" t="s">
        <v>183</v>
      </c>
      <c r="E3">
        <v>0</v>
      </c>
      <c r="F3">
        <v>2</v>
      </c>
      <c r="G3">
        <v>0</v>
      </c>
      <c r="H3">
        <v>1</v>
      </c>
      <c r="I3">
        <v>0</v>
      </c>
      <c r="J3">
        <v>0</v>
      </c>
      <c r="K3">
        <v>0</v>
      </c>
      <c r="M3">
        <f>B3*E3</f>
        <v>0</v>
      </c>
      <c r="N3">
        <f>F3*B3</f>
        <v>94.82</v>
      </c>
      <c r="O3">
        <f>G3*B3</f>
        <v>0</v>
      </c>
      <c r="P3">
        <f>B3*H3</f>
        <v>47.41</v>
      </c>
      <c r="Q3">
        <f>I3*B3</f>
        <v>0</v>
      </c>
      <c r="R3">
        <f>J3*B3</f>
        <v>0</v>
      </c>
      <c r="S3">
        <f>K3*B3</f>
        <v>0</v>
      </c>
      <c r="V3" s="11" t="s">
        <v>17</v>
      </c>
      <c r="W3" s="13">
        <v>0.13639999999999999</v>
      </c>
      <c r="X3" s="11">
        <v>89</v>
      </c>
      <c r="Y3" s="11">
        <v>71</v>
      </c>
      <c r="Z3" s="11">
        <v>0.13639999999999999</v>
      </c>
      <c r="AA3" s="11">
        <v>9.6844000000000001</v>
      </c>
      <c r="AB3" s="11">
        <v>9.0842149992167498E-2</v>
      </c>
      <c r="AC3" s="11">
        <f>(AB3*0.6*1000)/Y3</f>
        <v>0.76768014077888025</v>
      </c>
      <c r="AD3" s="2"/>
      <c r="AE3" s="2"/>
      <c r="AF3" t="s">
        <v>1</v>
      </c>
      <c r="AG3" s="5">
        <v>0.6</v>
      </c>
      <c r="AH3">
        <v>5.6281535247718457</v>
      </c>
      <c r="AI3">
        <v>4.3239999999999998</v>
      </c>
      <c r="AJ3" s="4">
        <f>AH3*AI3</f>
        <v>24.33613584111346</v>
      </c>
      <c r="AL3" t="s">
        <v>252</v>
      </c>
    </row>
    <row r="4" spans="1:39" x14ac:dyDescent="0.2">
      <c r="A4" t="s">
        <v>87</v>
      </c>
      <c r="B4">
        <v>47.442593618139703</v>
      </c>
      <c r="C4" t="s">
        <v>88</v>
      </c>
      <c r="D4" t="s">
        <v>184</v>
      </c>
      <c r="E4">
        <v>10</v>
      </c>
      <c r="F4">
        <v>16</v>
      </c>
      <c r="G4">
        <v>5</v>
      </c>
      <c r="H4">
        <v>13</v>
      </c>
      <c r="I4">
        <v>3</v>
      </c>
      <c r="J4">
        <v>0</v>
      </c>
      <c r="K4">
        <v>0</v>
      </c>
      <c r="M4">
        <f t="shared" ref="M4:M62" si="0">B4*E4</f>
        <v>474.42593618139705</v>
      </c>
      <c r="N4">
        <f t="shared" ref="N4:N62" si="1">F4*B4</f>
        <v>759.08149789023525</v>
      </c>
      <c r="O4">
        <f t="shared" ref="O4:O62" si="2">G4*B4</f>
        <v>237.21296809069852</v>
      </c>
      <c r="P4">
        <f t="shared" ref="P4:P62" si="3">B4*H4</f>
        <v>616.75371703581618</v>
      </c>
      <c r="Q4">
        <f t="shared" ref="Q4:Q62" si="4">I4*B4</f>
        <v>142.3277808544191</v>
      </c>
      <c r="R4">
        <f t="shared" ref="R4:R62" si="5">J4*B4</f>
        <v>0</v>
      </c>
      <c r="S4">
        <f t="shared" ref="S4:S62" si="6">K4*B4</f>
        <v>0</v>
      </c>
      <c r="V4" s="11" t="s">
        <v>20</v>
      </c>
      <c r="W4" s="13">
        <v>7.1800000000000003E-2</v>
      </c>
      <c r="X4" s="11">
        <v>174</v>
      </c>
      <c r="Y4" s="11">
        <v>156</v>
      </c>
      <c r="Z4" s="11">
        <v>7.1800000000000003E-2</v>
      </c>
      <c r="AA4" s="11">
        <v>11.200799999999999</v>
      </c>
      <c r="AB4" s="11">
        <v>0.105066370000441</v>
      </c>
      <c r="AC4" s="11">
        <f t="shared" ref="AC4:AC22" si="7">(AB4*0.6*1000)/Y4</f>
        <v>0.40410142307861924</v>
      </c>
      <c r="AD4" s="5"/>
      <c r="AE4" s="5"/>
      <c r="AF4" t="s">
        <v>21</v>
      </c>
      <c r="AG4">
        <v>1.7000000000000001E-2</v>
      </c>
      <c r="AH4">
        <v>0.11974568955527136</v>
      </c>
      <c r="AI4">
        <v>1.365</v>
      </c>
      <c r="AJ4" s="4">
        <f>AH4*AI4</f>
        <v>0.16345286624294542</v>
      </c>
      <c r="AL4" t="s">
        <v>264</v>
      </c>
    </row>
    <row r="5" spans="1:39" x14ac:dyDescent="0.2">
      <c r="A5" t="s">
        <v>159</v>
      </c>
      <c r="B5">
        <v>-47.41</v>
      </c>
      <c r="C5" t="s">
        <v>160</v>
      </c>
      <c r="D5" t="s">
        <v>185</v>
      </c>
      <c r="E5">
        <v>10</v>
      </c>
      <c r="F5">
        <v>15</v>
      </c>
      <c r="G5">
        <v>5</v>
      </c>
      <c r="H5">
        <v>10</v>
      </c>
      <c r="I5">
        <v>2</v>
      </c>
      <c r="J5">
        <v>0</v>
      </c>
      <c r="K5">
        <v>0</v>
      </c>
      <c r="M5">
        <f t="shared" si="0"/>
        <v>-474.09999999999997</v>
      </c>
      <c r="N5">
        <f t="shared" si="1"/>
        <v>-711.15</v>
      </c>
      <c r="O5">
        <f t="shared" si="2"/>
        <v>-237.04999999999998</v>
      </c>
      <c r="P5">
        <f t="shared" si="3"/>
        <v>-474.09999999999997</v>
      </c>
      <c r="Q5">
        <f t="shared" si="4"/>
        <v>-94.82</v>
      </c>
      <c r="R5">
        <f t="shared" si="5"/>
        <v>0</v>
      </c>
      <c r="S5">
        <f t="shared" si="6"/>
        <v>0</v>
      </c>
      <c r="V5" s="11" t="s">
        <v>24</v>
      </c>
      <c r="W5" s="13">
        <v>2.3699999999999999E-2</v>
      </c>
      <c r="X5" s="11">
        <v>132</v>
      </c>
      <c r="Y5" s="11">
        <v>114</v>
      </c>
      <c r="Z5" s="11">
        <v>2.3699999999999999E-2</v>
      </c>
      <c r="AA5" s="11">
        <v>2.7018</v>
      </c>
      <c r="AB5" s="11">
        <v>2.5343575322047601E-2</v>
      </c>
      <c r="AC5" s="11">
        <f t="shared" si="7"/>
        <v>0.13338723853709264</v>
      </c>
      <c r="AF5" t="s">
        <v>25</v>
      </c>
      <c r="AG5">
        <v>6.6000000000000003E-2</v>
      </c>
      <c r="AH5" s="4">
        <v>0.27270314543230367</v>
      </c>
      <c r="AI5">
        <v>0.40600000000000003</v>
      </c>
      <c r="AJ5" s="4">
        <f>AH5*AI5</f>
        <v>0.11071747704551529</v>
      </c>
      <c r="AL5" t="s">
        <v>271</v>
      </c>
    </row>
    <row r="6" spans="1:39" x14ac:dyDescent="0.2">
      <c r="A6" t="s">
        <v>161</v>
      </c>
      <c r="B6">
        <v>-47.41</v>
      </c>
      <c r="C6" t="s">
        <v>162</v>
      </c>
      <c r="D6" t="s">
        <v>186</v>
      </c>
      <c r="E6">
        <v>0</v>
      </c>
      <c r="F6">
        <v>3</v>
      </c>
      <c r="G6">
        <v>0</v>
      </c>
      <c r="H6">
        <v>4</v>
      </c>
      <c r="I6">
        <v>1</v>
      </c>
      <c r="J6">
        <v>0</v>
      </c>
      <c r="K6">
        <v>0</v>
      </c>
      <c r="M6">
        <f t="shared" si="0"/>
        <v>0</v>
      </c>
      <c r="N6">
        <f t="shared" si="1"/>
        <v>-142.22999999999999</v>
      </c>
      <c r="O6">
        <f t="shared" si="2"/>
        <v>0</v>
      </c>
      <c r="P6">
        <f t="shared" si="3"/>
        <v>-189.64</v>
      </c>
      <c r="Q6">
        <f t="shared" si="4"/>
        <v>-47.41</v>
      </c>
      <c r="R6">
        <f t="shared" si="5"/>
        <v>0</v>
      </c>
      <c r="S6">
        <f t="shared" si="6"/>
        <v>0</v>
      </c>
      <c r="V6" s="11" t="s">
        <v>28</v>
      </c>
      <c r="W6" s="13">
        <v>5.57E-2</v>
      </c>
      <c r="X6" s="11">
        <v>133</v>
      </c>
      <c r="Y6" s="11">
        <v>115</v>
      </c>
      <c r="Z6" s="11">
        <v>5.57E-2</v>
      </c>
      <c r="AA6" s="11">
        <v>6.4055</v>
      </c>
      <c r="AB6" s="11">
        <v>6.0085229004876797E-2</v>
      </c>
      <c r="AC6" s="11">
        <f t="shared" si="7"/>
        <v>0.31348815132979202</v>
      </c>
      <c r="AJ6" s="4">
        <f>SUM(AJ3:AJ5)</f>
        <v>24.610306184401921</v>
      </c>
    </row>
    <row r="7" spans="1:39" x14ac:dyDescent="0.2">
      <c r="A7" t="s">
        <v>102</v>
      </c>
      <c r="B7">
        <v>5.8999999999999999E-3</v>
      </c>
      <c r="C7" t="s">
        <v>103</v>
      </c>
      <c r="D7" t="s">
        <v>187</v>
      </c>
      <c r="E7">
        <v>21</v>
      </c>
      <c r="F7">
        <v>36</v>
      </c>
      <c r="G7">
        <v>7</v>
      </c>
      <c r="H7">
        <v>16</v>
      </c>
      <c r="I7">
        <v>3</v>
      </c>
      <c r="J7">
        <v>1</v>
      </c>
      <c r="K7">
        <v>0</v>
      </c>
      <c r="M7">
        <f t="shared" si="0"/>
        <v>0.1239</v>
      </c>
      <c r="N7">
        <f t="shared" si="1"/>
        <v>0.21240000000000001</v>
      </c>
      <c r="O7">
        <f t="shared" si="2"/>
        <v>4.1299999999999996E-2</v>
      </c>
      <c r="P7">
        <f t="shared" si="3"/>
        <v>9.4399999999999998E-2</v>
      </c>
      <c r="Q7">
        <f t="shared" si="4"/>
        <v>1.77E-2</v>
      </c>
      <c r="R7">
        <f t="shared" si="5"/>
        <v>5.8999999999999999E-3</v>
      </c>
      <c r="S7">
        <f t="shared" si="6"/>
        <v>0</v>
      </c>
      <c r="V7" s="11" t="s">
        <v>31</v>
      </c>
      <c r="W7" s="13">
        <v>1.1900000000000001E-2</v>
      </c>
      <c r="X7" s="11">
        <v>121</v>
      </c>
      <c r="Y7" s="11">
        <v>103</v>
      </c>
      <c r="Z7" s="11">
        <v>1.1900000000000001E-2</v>
      </c>
      <c r="AA7" s="11">
        <v>1.2257</v>
      </c>
      <c r="AB7" s="11">
        <v>1.1497379625521401E-2</v>
      </c>
      <c r="AC7" s="11">
        <f t="shared" si="7"/>
        <v>6.6975026944784855E-2</v>
      </c>
      <c r="AF7" t="s">
        <v>32</v>
      </c>
      <c r="AJ7">
        <v>22.8</v>
      </c>
    </row>
    <row r="8" spans="1:39" x14ac:dyDescent="0.2">
      <c r="A8" t="s">
        <v>168</v>
      </c>
      <c r="B8">
        <v>0.28399999999999997</v>
      </c>
      <c r="C8" t="s">
        <v>169</v>
      </c>
      <c r="D8" t="s">
        <v>188</v>
      </c>
      <c r="E8">
        <v>0</v>
      </c>
      <c r="F8">
        <v>4</v>
      </c>
      <c r="G8">
        <v>0</v>
      </c>
      <c r="H8">
        <v>7</v>
      </c>
      <c r="I8">
        <v>2</v>
      </c>
      <c r="J8">
        <v>0</v>
      </c>
      <c r="K8">
        <v>0</v>
      </c>
      <c r="M8">
        <f t="shared" si="0"/>
        <v>0</v>
      </c>
      <c r="N8">
        <f t="shared" si="1"/>
        <v>1.1359999999999999</v>
      </c>
      <c r="O8">
        <f t="shared" si="2"/>
        <v>0</v>
      </c>
      <c r="P8">
        <f t="shared" si="3"/>
        <v>1.9879999999999998</v>
      </c>
      <c r="Q8">
        <f t="shared" si="4"/>
        <v>0.56799999999999995</v>
      </c>
      <c r="R8">
        <f t="shared" si="5"/>
        <v>0</v>
      </c>
      <c r="S8">
        <f t="shared" si="6"/>
        <v>0</v>
      </c>
      <c r="V8" s="11" t="s">
        <v>35</v>
      </c>
      <c r="W8" s="13">
        <v>2.6700000000000002E-2</v>
      </c>
      <c r="X8" s="11">
        <v>147</v>
      </c>
      <c r="Y8" s="11">
        <v>129</v>
      </c>
      <c r="Z8" s="11">
        <v>2.6700000000000002E-2</v>
      </c>
      <c r="AA8" s="11">
        <v>3.4443000000000001</v>
      </c>
      <c r="AB8" s="11">
        <v>3.2308415308952801E-2</v>
      </c>
      <c r="AC8" s="11">
        <f t="shared" si="7"/>
        <v>0.15027169911140839</v>
      </c>
      <c r="AI8" t="s">
        <v>254</v>
      </c>
      <c r="AJ8" s="4">
        <f>SUM(AJ6:AJ7)</f>
        <v>47.410306184401918</v>
      </c>
    </row>
    <row r="9" spans="1:39" x14ac:dyDescent="0.2">
      <c r="A9" t="s">
        <v>18</v>
      </c>
      <c r="B9">
        <v>6.0000000000000002E-5</v>
      </c>
      <c r="C9" t="s">
        <v>19</v>
      </c>
      <c r="D9" t="s">
        <v>189</v>
      </c>
      <c r="E9">
        <v>27</v>
      </c>
      <c r="F9">
        <v>33</v>
      </c>
      <c r="G9">
        <v>9</v>
      </c>
      <c r="H9">
        <v>15</v>
      </c>
      <c r="I9">
        <v>2</v>
      </c>
      <c r="J9">
        <v>0</v>
      </c>
      <c r="K9">
        <v>0</v>
      </c>
      <c r="M9">
        <f t="shared" si="0"/>
        <v>1.6200000000000001E-3</v>
      </c>
      <c r="N9">
        <f t="shared" si="1"/>
        <v>1.98E-3</v>
      </c>
      <c r="O9">
        <f t="shared" si="2"/>
        <v>5.4000000000000001E-4</v>
      </c>
      <c r="P9">
        <f t="shared" si="3"/>
        <v>8.9999999999999998E-4</v>
      </c>
      <c r="Q9">
        <f t="shared" si="4"/>
        <v>1.2E-4</v>
      </c>
      <c r="R9">
        <f t="shared" si="5"/>
        <v>0</v>
      </c>
      <c r="S9">
        <f t="shared" si="6"/>
        <v>0</v>
      </c>
      <c r="V9" s="11" t="s">
        <v>38</v>
      </c>
      <c r="W9" s="13">
        <v>6.6799999999999998E-2</v>
      </c>
      <c r="X9" s="11">
        <v>146</v>
      </c>
      <c r="Y9" s="11">
        <v>128</v>
      </c>
      <c r="Z9" s="11">
        <v>6.6799999999999998E-2</v>
      </c>
      <c r="AA9" s="11">
        <v>8.5503999999999998</v>
      </c>
      <c r="AB9" s="11">
        <v>8.0204939830348695E-2</v>
      </c>
      <c r="AC9" s="11">
        <f t="shared" si="7"/>
        <v>0.37596065545475948</v>
      </c>
      <c r="AH9" s="4"/>
    </row>
    <row r="10" spans="1:39" x14ac:dyDescent="0.2">
      <c r="A10" t="s">
        <v>2</v>
      </c>
      <c r="B10">
        <v>6.0000000000000002E-5</v>
      </c>
      <c r="C10" t="s">
        <v>3</v>
      </c>
      <c r="D10" t="s">
        <v>190</v>
      </c>
      <c r="E10">
        <v>8</v>
      </c>
      <c r="F10">
        <v>10</v>
      </c>
      <c r="G10">
        <v>1</v>
      </c>
      <c r="H10">
        <v>6</v>
      </c>
      <c r="I10">
        <v>1</v>
      </c>
      <c r="J10">
        <v>0</v>
      </c>
      <c r="K10">
        <v>0</v>
      </c>
      <c r="M10">
        <f t="shared" si="0"/>
        <v>4.8000000000000001E-4</v>
      </c>
      <c r="N10">
        <f t="shared" si="1"/>
        <v>6.0000000000000006E-4</v>
      </c>
      <c r="O10">
        <f t="shared" si="2"/>
        <v>6.0000000000000002E-5</v>
      </c>
      <c r="P10">
        <f t="shared" si="3"/>
        <v>3.6000000000000002E-4</v>
      </c>
      <c r="Q10">
        <f t="shared" si="4"/>
        <v>6.0000000000000002E-5</v>
      </c>
      <c r="R10">
        <f t="shared" si="5"/>
        <v>0</v>
      </c>
      <c r="S10">
        <f t="shared" si="6"/>
        <v>0</v>
      </c>
      <c r="V10" s="11" t="s">
        <v>42</v>
      </c>
      <c r="W10" s="13">
        <v>9.2200000000000004E-2</v>
      </c>
      <c r="X10" s="11">
        <v>75</v>
      </c>
      <c r="Y10" s="11">
        <v>57</v>
      </c>
      <c r="Z10" s="11">
        <v>9.2200000000000004E-2</v>
      </c>
      <c r="AA10" s="11">
        <v>5.2553999999999998</v>
      </c>
      <c r="AB10" s="11">
        <v>4.9296996723476601E-2</v>
      </c>
      <c r="AC10" s="11">
        <f t="shared" si="7"/>
        <v>0.51891575498396425</v>
      </c>
    </row>
    <row r="11" spans="1:39" x14ac:dyDescent="0.2">
      <c r="A11" t="s">
        <v>73</v>
      </c>
      <c r="B11">
        <v>6.0000000000000002E-5</v>
      </c>
      <c r="C11" t="s">
        <v>74</v>
      </c>
      <c r="D11" t="s">
        <v>191</v>
      </c>
      <c r="E11">
        <v>15</v>
      </c>
      <c r="F11">
        <v>22</v>
      </c>
      <c r="G11">
        <v>6</v>
      </c>
      <c r="H11">
        <v>5</v>
      </c>
      <c r="I11">
        <v>0</v>
      </c>
      <c r="J11">
        <v>1</v>
      </c>
      <c r="K11">
        <v>0</v>
      </c>
      <c r="M11">
        <f t="shared" si="0"/>
        <v>8.9999999999999998E-4</v>
      </c>
      <c r="N11">
        <f t="shared" si="1"/>
        <v>1.32E-3</v>
      </c>
      <c r="O11">
        <f t="shared" si="2"/>
        <v>3.6000000000000002E-4</v>
      </c>
      <c r="P11">
        <f t="shared" si="3"/>
        <v>3.0000000000000003E-4</v>
      </c>
      <c r="Q11">
        <f t="shared" si="4"/>
        <v>0</v>
      </c>
      <c r="R11">
        <f t="shared" si="5"/>
        <v>6.0000000000000002E-5</v>
      </c>
      <c r="S11">
        <f t="shared" si="6"/>
        <v>0</v>
      </c>
      <c r="V11" s="11" t="s">
        <v>45</v>
      </c>
      <c r="W11" s="13">
        <v>2.2700000000000001E-2</v>
      </c>
      <c r="X11" s="11">
        <v>155</v>
      </c>
      <c r="Y11" s="11">
        <v>137</v>
      </c>
      <c r="Z11" s="11">
        <v>2.2700000000000001E-2</v>
      </c>
      <c r="AA11" s="11">
        <v>3.1099000000000001</v>
      </c>
      <c r="AB11" s="11">
        <v>2.9171657744479999E-2</v>
      </c>
      <c r="AC11" s="11">
        <f t="shared" si="7"/>
        <v>0.12775908501232117</v>
      </c>
      <c r="AF11" s="2" t="s">
        <v>267</v>
      </c>
      <c r="AG11" s="2"/>
      <c r="AH11" s="2"/>
      <c r="AI11" s="2"/>
      <c r="AJ11" s="2"/>
      <c r="AK11" s="2"/>
      <c r="AL11" s="2"/>
    </row>
    <row r="12" spans="1:39" x14ac:dyDescent="0.2">
      <c r="A12" t="s">
        <v>123</v>
      </c>
      <c r="B12">
        <v>1E-3</v>
      </c>
      <c r="C12" t="s">
        <v>124</v>
      </c>
      <c r="D12" t="s">
        <v>192</v>
      </c>
      <c r="E12">
        <v>10</v>
      </c>
      <c r="F12">
        <v>14</v>
      </c>
      <c r="G12">
        <v>5</v>
      </c>
      <c r="H12">
        <v>7</v>
      </c>
      <c r="I12">
        <v>1</v>
      </c>
      <c r="J12">
        <v>0</v>
      </c>
      <c r="K12">
        <v>0</v>
      </c>
      <c r="M12">
        <f t="shared" si="0"/>
        <v>0.01</v>
      </c>
      <c r="N12">
        <f t="shared" si="1"/>
        <v>1.4E-2</v>
      </c>
      <c r="O12">
        <f t="shared" si="2"/>
        <v>5.0000000000000001E-3</v>
      </c>
      <c r="P12">
        <f t="shared" si="3"/>
        <v>7.0000000000000001E-3</v>
      </c>
      <c r="Q12">
        <f t="shared" si="4"/>
        <v>1E-3</v>
      </c>
      <c r="R12">
        <f t="shared" si="5"/>
        <v>0</v>
      </c>
      <c r="S12">
        <f t="shared" si="6"/>
        <v>0</v>
      </c>
      <c r="V12" s="11" t="s">
        <v>48</v>
      </c>
      <c r="W12" s="13">
        <v>4.8399999999999999E-2</v>
      </c>
      <c r="X12" s="11">
        <v>131</v>
      </c>
      <c r="Y12" s="11">
        <v>113</v>
      </c>
      <c r="Z12" s="11">
        <v>4.8399999999999999E-2</v>
      </c>
      <c r="AA12" s="11">
        <v>5.4691999999999998</v>
      </c>
      <c r="AB12" s="11">
        <v>5.1302495429470303E-2</v>
      </c>
      <c r="AC12" s="11">
        <f t="shared" si="7"/>
        <v>0.27240263059895736</v>
      </c>
      <c r="AF12" s="2" t="s">
        <v>138</v>
      </c>
      <c r="AG12" s="2" t="s">
        <v>139</v>
      </c>
      <c r="AH12" s="2" t="s">
        <v>5</v>
      </c>
      <c r="AI12" s="2" t="s">
        <v>140</v>
      </c>
      <c r="AJ12" s="2" t="s">
        <v>141</v>
      </c>
      <c r="AK12" s="2" t="s">
        <v>142</v>
      </c>
      <c r="AL12" s="3" t="s">
        <v>10</v>
      </c>
      <c r="AM12" s="2"/>
    </row>
    <row r="13" spans="1:39" x14ac:dyDescent="0.2">
      <c r="A13" t="s">
        <v>99</v>
      </c>
      <c r="B13">
        <v>5.0000000000000002E-5</v>
      </c>
      <c r="C13" t="s">
        <v>100</v>
      </c>
      <c r="D13" t="s">
        <v>193</v>
      </c>
      <c r="E13">
        <v>23</v>
      </c>
      <c r="F13">
        <v>38</v>
      </c>
      <c r="G13">
        <v>7</v>
      </c>
      <c r="H13">
        <v>17</v>
      </c>
      <c r="I13">
        <v>3</v>
      </c>
      <c r="J13">
        <v>1</v>
      </c>
      <c r="K13">
        <v>0</v>
      </c>
      <c r="M13">
        <f t="shared" si="0"/>
        <v>1.15E-3</v>
      </c>
      <c r="N13">
        <f t="shared" si="1"/>
        <v>1.9E-3</v>
      </c>
      <c r="O13">
        <f t="shared" si="2"/>
        <v>3.5E-4</v>
      </c>
      <c r="P13">
        <f t="shared" si="3"/>
        <v>8.5000000000000006E-4</v>
      </c>
      <c r="Q13">
        <f t="shared" si="4"/>
        <v>1.5000000000000001E-4</v>
      </c>
      <c r="R13">
        <f t="shared" si="5"/>
        <v>5.0000000000000002E-5</v>
      </c>
      <c r="S13">
        <f t="shared" si="6"/>
        <v>0</v>
      </c>
      <c r="V13" s="11" t="s">
        <v>51</v>
      </c>
      <c r="W13" s="13">
        <v>9.1800000000000007E-2</v>
      </c>
      <c r="X13" s="11">
        <v>131</v>
      </c>
      <c r="Y13" s="11">
        <v>113</v>
      </c>
      <c r="Z13" s="11">
        <v>9.1800000000000007E-2</v>
      </c>
      <c r="AA13" s="11">
        <v>10.3734</v>
      </c>
      <c r="AB13" s="11">
        <v>9.73051462897805E-2</v>
      </c>
      <c r="AC13" s="11">
        <f t="shared" si="7"/>
        <v>0.51666449357405575</v>
      </c>
      <c r="AF13" s="16" t="s">
        <v>47</v>
      </c>
      <c r="AG13">
        <v>32</v>
      </c>
      <c r="AH13">
        <v>742.09010000000001</v>
      </c>
      <c r="AI13">
        <v>0.32</v>
      </c>
      <c r="AJ13" s="4">
        <f>AH13*AI13</f>
        <v>237.46883200000002</v>
      </c>
      <c r="AK13" s="4">
        <f>AJ13/AJ$17</f>
        <v>0.36237318562331244</v>
      </c>
      <c r="AL13" s="4">
        <f>(AK13*0.0725*1000)/AH13</f>
        <v>3.5402784591372603E-2</v>
      </c>
    </row>
    <row r="14" spans="1:39" x14ac:dyDescent="0.2">
      <c r="A14" t="s">
        <v>128</v>
      </c>
      <c r="B14">
        <v>0.37596065545475899</v>
      </c>
      <c r="C14" t="s">
        <v>129</v>
      </c>
      <c r="D14" t="s">
        <v>194</v>
      </c>
      <c r="E14">
        <v>5</v>
      </c>
      <c r="F14">
        <v>9</v>
      </c>
      <c r="G14">
        <v>1</v>
      </c>
      <c r="H14">
        <v>4</v>
      </c>
      <c r="I14">
        <v>0</v>
      </c>
      <c r="J14">
        <v>0</v>
      </c>
      <c r="K14">
        <v>0</v>
      </c>
      <c r="M14">
        <f t="shared" si="0"/>
        <v>1.8798032772737949</v>
      </c>
      <c r="N14">
        <f t="shared" si="1"/>
        <v>3.3836458990928309</v>
      </c>
      <c r="O14">
        <f t="shared" si="2"/>
        <v>0.37596065545475899</v>
      </c>
      <c r="P14">
        <f t="shared" si="3"/>
        <v>1.5038426218190359</v>
      </c>
      <c r="Q14">
        <f t="shared" si="4"/>
        <v>0</v>
      </c>
      <c r="R14">
        <f t="shared" si="5"/>
        <v>0</v>
      </c>
      <c r="S14">
        <f t="shared" si="6"/>
        <v>0</v>
      </c>
      <c r="V14" s="11" t="s">
        <v>54</v>
      </c>
      <c r="W14" s="13">
        <v>2.7799999999999998E-2</v>
      </c>
      <c r="X14" s="11">
        <v>146</v>
      </c>
      <c r="Y14" s="11">
        <v>128</v>
      </c>
      <c r="Z14" s="11">
        <v>2.7799999999999998E-2</v>
      </c>
      <c r="AA14" s="11">
        <v>3.5583999999999998</v>
      </c>
      <c r="AB14" s="11">
        <v>3.3378702504246897E-2</v>
      </c>
      <c r="AC14" s="11">
        <f t="shared" si="7"/>
        <v>0.15646266798865732</v>
      </c>
      <c r="AF14" t="s">
        <v>53</v>
      </c>
      <c r="AG14">
        <v>36</v>
      </c>
      <c r="AH14">
        <v>772.09010000000001</v>
      </c>
      <c r="AI14">
        <v>0.36</v>
      </c>
      <c r="AJ14" s="4">
        <f>AH14*AI14</f>
        <v>277.95243599999998</v>
      </c>
      <c r="AK14" s="4">
        <f>AJ14/AJ$17</f>
        <v>0.42415044044634814</v>
      </c>
      <c r="AL14" s="4">
        <f>(AK14*0.0725*1000)/AH14</f>
        <v>3.9828132665294162E-2</v>
      </c>
    </row>
    <row r="15" spans="1:39" x14ac:dyDescent="0.2">
      <c r="A15" t="s">
        <v>61</v>
      </c>
      <c r="B15">
        <v>0.51891575498396403</v>
      </c>
      <c r="C15" t="s">
        <v>62</v>
      </c>
      <c r="D15" t="s">
        <v>195</v>
      </c>
      <c r="E15">
        <v>2</v>
      </c>
      <c r="F15">
        <v>5</v>
      </c>
      <c r="G15">
        <v>1</v>
      </c>
      <c r="H15">
        <v>2</v>
      </c>
      <c r="I15">
        <v>0</v>
      </c>
      <c r="J15">
        <v>0</v>
      </c>
      <c r="K15">
        <v>0</v>
      </c>
      <c r="M15">
        <f t="shared" si="0"/>
        <v>1.0378315099679281</v>
      </c>
      <c r="N15">
        <f t="shared" si="1"/>
        <v>2.5945787749198201</v>
      </c>
      <c r="O15">
        <f t="shared" si="2"/>
        <v>0.51891575498396403</v>
      </c>
      <c r="P15">
        <f t="shared" si="3"/>
        <v>1.0378315099679281</v>
      </c>
      <c r="Q15">
        <f t="shared" si="4"/>
        <v>0</v>
      </c>
      <c r="R15">
        <f t="shared" si="5"/>
        <v>0</v>
      </c>
      <c r="S15">
        <f t="shared" si="6"/>
        <v>0</v>
      </c>
      <c r="V15" s="11" t="s">
        <v>57</v>
      </c>
      <c r="W15" s="13">
        <v>2.64E-2</v>
      </c>
      <c r="X15" s="11">
        <v>149</v>
      </c>
      <c r="Y15" s="11">
        <v>131</v>
      </c>
      <c r="Z15" s="11">
        <v>2.64E-2</v>
      </c>
      <c r="AA15" s="11">
        <v>3.4584000000000001</v>
      </c>
      <c r="AB15" s="11">
        <v>3.24406769167849E-2</v>
      </c>
      <c r="AC15" s="11">
        <f t="shared" si="7"/>
        <v>0.14858325305397663</v>
      </c>
      <c r="AF15" t="s">
        <v>149</v>
      </c>
      <c r="AG15">
        <v>16</v>
      </c>
      <c r="AH15">
        <v>784.09010000000001</v>
      </c>
      <c r="AI15">
        <v>0.16</v>
      </c>
      <c r="AJ15" s="4">
        <f>AH15*AI15</f>
        <v>125.45441600000001</v>
      </c>
      <c r="AK15" s="4">
        <f>AJ15/AJ$17</f>
        <v>0.19144119248639863</v>
      </c>
      <c r="AL15" s="4">
        <f>(AK15*0.0725*1000)/AH15</f>
        <v>1.7701392295686298E-2</v>
      </c>
    </row>
    <row r="16" spans="1:39" x14ac:dyDescent="0.2">
      <c r="A16" t="s">
        <v>132</v>
      </c>
      <c r="B16">
        <v>0.76768014100000004</v>
      </c>
      <c r="C16" t="s">
        <v>133</v>
      </c>
      <c r="D16" t="s">
        <v>196</v>
      </c>
      <c r="E16">
        <v>3</v>
      </c>
      <c r="F16">
        <v>7</v>
      </c>
      <c r="G16">
        <v>1</v>
      </c>
      <c r="H16">
        <v>2</v>
      </c>
      <c r="I16">
        <v>0</v>
      </c>
      <c r="J16">
        <v>0</v>
      </c>
      <c r="K16">
        <v>0</v>
      </c>
      <c r="M16">
        <f t="shared" si="0"/>
        <v>2.3030404230000001</v>
      </c>
      <c r="N16">
        <f t="shared" si="1"/>
        <v>5.3737609870000007</v>
      </c>
      <c r="O16">
        <f t="shared" si="2"/>
        <v>0.76768014100000004</v>
      </c>
      <c r="P16">
        <f t="shared" si="3"/>
        <v>1.5353602820000001</v>
      </c>
      <c r="Q16">
        <f t="shared" si="4"/>
        <v>0</v>
      </c>
      <c r="R16">
        <f t="shared" si="5"/>
        <v>0</v>
      </c>
      <c r="S16">
        <f t="shared" si="6"/>
        <v>0</v>
      </c>
      <c r="V16" s="11" t="s">
        <v>60</v>
      </c>
      <c r="W16" s="13">
        <v>3.4000000000000002E-2</v>
      </c>
      <c r="X16" s="11">
        <v>165</v>
      </c>
      <c r="Y16" s="11">
        <v>147</v>
      </c>
      <c r="Z16" s="11">
        <v>3.4000000000000002E-2</v>
      </c>
      <c r="AA16" s="11">
        <v>4.9980000000000002</v>
      </c>
      <c r="AB16" s="11">
        <v>4.6882518861349497E-2</v>
      </c>
      <c r="AC16" s="11">
        <f t="shared" si="7"/>
        <v>0.19135721984224285</v>
      </c>
      <c r="AF16" t="s">
        <v>50</v>
      </c>
      <c r="AG16">
        <v>1</v>
      </c>
      <c r="AH16">
        <v>1444</v>
      </c>
      <c r="AI16">
        <v>0.01</v>
      </c>
      <c r="AJ16" s="4">
        <f>AH16*AI16</f>
        <v>14.44</v>
      </c>
      <c r="AK16" s="4">
        <f>AJ16/AJ$17</f>
        <v>2.2035181443940531E-2</v>
      </c>
      <c r="AL16" s="4">
        <f>(AK16*0.0725*1000)/AH16</f>
        <v>1.1063370184803936E-3</v>
      </c>
    </row>
    <row r="17" spans="1:39" x14ac:dyDescent="0.2">
      <c r="A17" t="s">
        <v>111</v>
      </c>
      <c r="B17">
        <v>6.6121570888229605E-2</v>
      </c>
      <c r="C17" t="s">
        <v>98</v>
      </c>
      <c r="D17" t="s">
        <v>197</v>
      </c>
      <c r="E17">
        <v>10</v>
      </c>
      <c r="F17">
        <v>16</v>
      </c>
      <c r="G17">
        <v>5</v>
      </c>
      <c r="H17">
        <v>14</v>
      </c>
      <c r="I17">
        <v>3</v>
      </c>
      <c r="J17">
        <v>0</v>
      </c>
      <c r="K17">
        <v>0</v>
      </c>
      <c r="M17">
        <f t="shared" si="0"/>
        <v>0.66121570888229608</v>
      </c>
      <c r="N17">
        <f t="shared" si="1"/>
        <v>1.0579451342116737</v>
      </c>
      <c r="O17">
        <f t="shared" si="2"/>
        <v>0.33060785444114804</v>
      </c>
      <c r="P17">
        <f t="shared" si="3"/>
        <v>0.92570199243521445</v>
      </c>
      <c r="Q17">
        <f t="shared" si="4"/>
        <v>0.1983647126646888</v>
      </c>
      <c r="R17">
        <f t="shared" si="5"/>
        <v>0</v>
      </c>
      <c r="S17">
        <f t="shared" si="6"/>
        <v>0</v>
      </c>
      <c r="V17" s="11" t="s">
        <v>63</v>
      </c>
      <c r="W17" s="13">
        <v>5.3999999999999999E-2</v>
      </c>
      <c r="X17" s="11">
        <v>115</v>
      </c>
      <c r="Y17" s="11">
        <v>97</v>
      </c>
      <c r="Z17" s="11">
        <v>5.3999999999999999E-2</v>
      </c>
      <c r="AA17" s="11">
        <v>5.2380000000000004</v>
      </c>
      <c r="AB17" s="11">
        <v>4.9133780271258198E-2</v>
      </c>
      <c r="AC17" s="11">
        <f t="shared" si="7"/>
        <v>0.30392029033767959</v>
      </c>
      <c r="AI17" t="s">
        <v>254</v>
      </c>
      <c r="AJ17" s="4">
        <f>SUM(AJ13:AJ16)</f>
        <v>655.31568400000015</v>
      </c>
      <c r="AL17" s="4">
        <f>SUM(AL13:AL16)</f>
        <v>9.4038646570833467E-2</v>
      </c>
    </row>
    <row r="18" spans="1:39" x14ac:dyDescent="0.2">
      <c r="A18" t="s">
        <v>94</v>
      </c>
      <c r="B18">
        <v>0.15646266798865699</v>
      </c>
      <c r="C18" t="s">
        <v>95</v>
      </c>
      <c r="D18" t="s">
        <v>198</v>
      </c>
      <c r="E18">
        <v>6</v>
      </c>
      <c r="F18">
        <v>14</v>
      </c>
      <c r="G18">
        <v>2</v>
      </c>
      <c r="H18">
        <v>2</v>
      </c>
      <c r="I18">
        <v>0</v>
      </c>
      <c r="J18">
        <v>0</v>
      </c>
      <c r="K18">
        <v>0</v>
      </c>
      <c r="M18">
        <f t="shared" si="0"/>
        <v>0.93877600793194194</v>
      </c>
      <c r="N18">
        <f t="shared" si="1"/>
        <v>2.190477351841198</v>
      </c>
      <c r="O18">
        <f t="shared" si="2"/>
        <v>0.31292533597731398</v>
      </c>
      <c r="P18">
        <f t="shared" si="3"/>
        <v>0.31292533597731398</v>
      </c>
      <c r="Q18">
        <f t="shared" si="4"/>
        <v>0</v>
      </c>
      <c r="R18">
        <f t="shared" si="5"/>
        <v>0</v>
      </c>
      <c r="S18">
        <f t="shared" si="6"/>
        <v>0</v>
      </c>
      <c r="V18" s="11" t="s">
        <v>66</v>
      </c>
      <c r="W18" s="13">
        <v>4.5600000000000002E-2</v>
      </c>
      <c r="X18" s="11">
        <v>105</v>
      </c>
      <c r="Y18" s="11">
        <v>87</v>
      </c>
      <c r="Z18" s="11">
        <v>4.5600000000000002E-2</v>
      </c>
      <c r="AA18" s="11">
        <v>3.9672000000000001</v>
      </c>
      <c r="AB18" s="11">
        <v>3.7213351105791499E-2</v>
      </c>
      <c r="AC18" s="11">
        <f t="shared" si="7"/>
        <v>0.25664380072959653</v>
      </c>
      <c r="AF18" t="s">
        <v>158</v>
      </c>
      <c r="AG18">
        <v>8.6</v>
      </c>
    </row>
    <row r="19" spans="1:39" x14ac:dyDescent="0.2">
      <c r="A19" t="s">
        <v>134</v>
      </c>
      <c r="B19">
        <v>0.31348815132979202</v>
      </c>
      <c r="C19" t="s">
        <v>135</v>
      </c>
      <c r="D19" t="s">
        <v>199</v>
      </c>
      <c r="E19">
        <v>4</v>
      </c>
      <c r="F19">
        <v>7</v>
      </c>
      <c r="G19">
        <v>1</v>
      </c>
      <c r="H19">
        <v>4</v>
      </c>
      <c r="I19">
        <v>0</v>
      </c>
      <c r="J19">
        <v>0</v>
      </c>
      <c r="K19">
        <v>0</v>
      </c>
      <c r="M19">
        <f t="shared" si="0"/>
        <v>1.2539526053191681</v>
      </c>
      <c r="N19">
        <f t="shared" si="1"/>
        <v>2.1944170593085444</v>
      </c>
      <c r="O19">
        <f t="shared" si="2"/>
        <v>0.31348815132979202</v>
      </c>
      <c r="P19">
        <f t="shared" si="3"/>
        <v>1.2539526053191681</v>
      </c>
      <c r="Q19">
        <f t="shared" si="4"/>
        <v>0</v>
      </c>
      <c r="R19">
        <f t="shared" si="5"/>
        <v>0</v>
      </c>
      <c r="S19">
        <f t="shared" si="6"/>
        <v>0</v>
      </c>
      <c r="V19" s="11" t="s">
        <v>69</v>
      </c>
      <c r="W19" s="13">
        <v>5.2200000000000003E-2</v>
      </c>
      <c r="X19" s="11">
        <v>119</v>
      </c>
      <c r="Y19" s="11">
        <v>101</v>
      </c>
      <c r="Z19" s="11">
        <v>5.2200000000000003E-2</v>
      </c>
      <c r="AA19" s="11">
        <v>5.2721999999999998</v>
      </c>
      <c r="AB19" s="11">
        <v>4.9454585022170199E-2</v>
      </c>
      <c r="AC19" s="11">
        <f t="shared" si="7"/>
        <v>0.29378961399309028</v>
      </c>
      <c r="AF19" s="17" t="s">
        <v>262</v>
      </c>
      <c r="AH19" t="s">
        <v>263</v>
      </c>
    </row>
    <row r="20" spans="1:39" x14ac:dyDescent="0.2">
      <c r="A20" t="s">
        <v>40</v>
      </c>
      <c r="B20">
        <v>6.0000000000000002E-5</v>
      </c>
      <c r="C20" t="s">
        <v>41</v>
      </c>
      <c r="D20" t="s">
        <v>200</v>
      </c>
      <c r="E20">
        <v>10</v>
      </c>
      <c r="F20">
        <v>17</v>
      </c>
      <c r="G20">
        <v>3</v>
      </c>
      <c r="H20">
        <v>6</v>
      </c>
      <c r="I20">
        <v>0</v>
      </c>
      <c r="J20">
        <v>1</v>
      </c>
      <c r="K20">
        <v>0</v>
      </c>
      <c r="M20">
        <f t="shared" si="0"/>
        <v>6.0000000000000006E-4</v>
      </c>
      <c r="N20">
        <f t="shared" si="1"/>
        <v>1.0200000000000001E-3</v>
      </c>
      <c r="O20">
        <f t="shared" si="2"/>
        <v>1.8000000000000001E-4</v>
      </c>
      <c r="P20">
        <f t="shared" si="3"/>
        <v>3.6000000000000002E-4</v>
      </c>
      <c r="Q20">
        <f t="shared" si="4"/>
        <v>0</v>
      </c>
      <c r="R20">
        <f t="shared" si="5"/>
        <v>6.0000000000000002E-5</v>
      </c>
      <c r="S20">
        <f t="shared" si="6"/>
        <v>0</v>
      </c>
      <c r="V20" s="11" t="s">
        <v>72</v>
      </c>
      <c r="W20" s="13">
        <v>1.0500000000000001E-2</v>
      </c>
      <c r="X20" s="11">
        <v>204</v>
      </c>
      <c r="Y20" s="11">
        <v>186</v>
      </c>
      <c r="Z20" s="11">
        <v>1.0500000000000001E-2</v>
      </c>
      <c r="AA20" s="11">
        <v>1.9530000000000001</v>
      </c>
      <c r="AB20" s="11">
        <v>1.83196397231324E-2</v>
      </c>
      <c r="AC20" s="11">
        <f t="shared" si="7"/>
        <v>5.9095612010104513E-2</v>
      </c>
    </row>
    <row r="21" spans="1:39" x14ac:dyDescent="0.2">
      <c r="A21" t="s">
        <v>70</v>
      </c>
      <c r="B21">
        <v>0.40410142307861902</v>
      </c>
      <c r="C21" t="s">
        <v>71</v>
      </c>
      <c r="D21" t="s">
        <v>201</v>
      </c>
      <c r="E21">
        <v>6</v>
      </c>
      <c r="F21">
        <v>14</v>
      </c>
      <c r="G21">
        <v>4</v>
      </c>
      <c r="H21">
        <v>2</v>
      </c>
      <c r="I21">
        <v>0</v>
      </c>
      <c r="J21">
        <v>0</v>
      </c>
      <c r="K21">
        <v>0</v>
      </c>
      <c r="M21">
        <f t="shared" si="0"/>
        <v>2.424608538471714</v>
      </c>
      <c r="N21">
        <f t="shared" si="1"/>
        <v>5.6574199231006661</v>
      </c>
      <c r="O21">
        <f t="shared" si="2"/>
        <v>1.6164056923144761</v>
      </c>
      <c r="P21">
        <f t="shared" si="3"/>
        <v>0.80820284615723803</v>
      </c>
      <c r="Q21">
        <f t="shared" si="4"/>
        <v>0</v>
      </c>
      <c r="R21">
        <f t="shared" si="5"/>
        <v>0</v>
      </c>
      <c r="S21">
        <f t="shared" si="6"/>
        <v>0</v>
      </c>
      <c r="V21" s="11" t="s">
        <v>75</v>
      </c>
      <c r="W21" s="13">
        <v>2.01E-2</v>
      </c>
      <c r="X21" s="11">
        <v>181</v>
      </c>
      <c r="Y21" s="11">
        <v>163</v>
      </c>
      <c r="Z21" s="11">
        <v>2.01E-2</v>
      </c>
      <c r="AA21" s="11">
        <v>3.2763</v>
      </c>
      <c r="AB21" s="11">
        <v>3.0732532322016701E-2</v>
      </c>
      <c r="AC21" s="11">
        <f t="shared" si="7"/>
        <v>0.11312588584791423</v>
      </c>
    </row>
    <row r="22" spans="1:39" x14ac:dyDescent="0.2">
      <c r="A22" t="s">
        <v>106</v>
      </c>
      <c r="B22">
        <v>6.4188191622491897E-2</v>
      </c>
      <c r="C22" t="s">
        <v>101</v>
      </c>
      <c r="D22" t="s">
        <v>202</v>
      </c>
      <c r="E22">
        <v>9</v>
      </c>
      <c r="F22">
        <v>16</v>
      </c>
      <c r="G22">
        <v>3</v>
      </c>
      <c r="H22">
        <v>14</v>
      </c>
      <c r="I22">
        <v>3</v>
      </c>
      <c r="J22">
        <v>0</v>
      </c>
      <c r="K22">
        <v>0</v>
      </c>
      <c r="M22">
        <f t="shared" si="0"/>
        <v>0.57769372460242707</v>
      </c>
      <c r="N22">
        <f t="shared" si="1"/>
        <v>1.0270110659598704</v>
      </c>
      <c r="O22">
        <f t="shared" si="2"/>
        <v>0.19256457486747569</v>
      </c>
      <c r="P22">
        <f t="shared" si="3"/>
        <v>0.89863468271488656</v>
      </c>
      <c r="Q22">
        <f t="shared" si="4"/>
        <v>0.19256457486747569</v>
      </c>
      <c r="R22">
        <f t="shared" si="5"/>
        <v>0</v>
      </c>
      <c r="S22">
        <f t="shared" si="6"/>
        <v>0</v>
      </c>
      <c r="V22" s="11" t="s">
        <v>78</v>
      </c>
      <c r="W22" s="13">
        <v>7.5399999999999995E-2</v>
      </c>
      <c r="X22" s="11">
        <v>117</v>
      </c>
      <c r="Y22" s="11">
        <v>99</v>
      </c>
      <c r="Z22" s="11">
        <v>7.5399999999999995E-2</v>
      </c>
      <c r="AA22" s="11">
        <v>7.4645999999999999</v>
      </c>
      <c r="AB22" s="11">
        <v>7.00198580016866E-2</v>
      </c>
      <c r="AC22" s="11">
        <f t="shared" si="7"/>
        <v>0.42436277576779752</v>
      </c>
      <c r="AF22" s="1" t="s">
        <v>265</v>
      </c>
    </row>
    <row r="23" spans="1:39" x14ac:dyDescent="0.2">
      <c r="A23" t="s">
        <v>130</v>
      </c>
      <c r="B23">
        <v>0.150271699111408</v>
      </c>
      <c r="C23" t="s">
        <v>131</v>
      </c>
      <c r="D23" t="s">
        <v>203</v>
      </c>
      <c r="E23">
        <v>5</v>
      </c>
      <c r="F23">
        <v>10</v>
      </c>
      <c r="G23">
        <v>2</v>
      </c>
      <c r="H23">
        <v>3</v>
      </c>
      <c r="I23">
        <v>0</v>
      </c>
      <c r="J23">
        <v>0</v>
      </c>
      <c r="K23">
        <v>0</v>
      </c>
      <c r="M23">
        <f t="shared" si="0"/>
        <v>0.75135849555704004</v>
      </c>
      <c r="N23">
        <f t="shared" si="1"/>
        <v>1.5027169911140801</v>
      </c>
      <c r="O23">
        <f t="shared" si="2"/>
        <v>0.30054339822281601</v>
      </c>
      <c r="P23">
        <f t="shared" si="3"/>
        <v>0.45081509733422398</v>
      </c>
      <c r="Q23">
        <f t="shared" si="4"/>
        <v>0</v>
      </c>
      <c r="R23">
        <f t="shared" si="5"/>
        <v>0</v>
      </c>
      <c r="S23">
        <f t="shared" si="6"/>
        <v>0</v>
      </c>
      <c r="V23" s="12"/>
      <c r="W23" s="12"/>
      <c r="X23" s="12"/>
      <c r="Y23" s="12"/>
      <c r="Z23" s="11" t="s">
        <v>39</v>
      </c>
      <c r="AA23" s="11">
        <v>106.6069</v>
      </c>
      <c r="AB23" s="12"/>
      <c r="AC23" s="11"/>
      <c r="AF23" s="2" t="s">
        <v>165</v>
      </c>
      <c r="AG23" s="2" t="s">
        <v>90</v>
      </c>
      <c r="AH23" s="2" t="s">
        <v>166</v>
      </c>
      <c r="AI23" s="2" t="s">
        <v>167</v>
      </c>
      <c r="AJ23" s="11" t="s">
        <v>259</v>
      </c>
      <c r="AK23" s="11" t="s">
        <v>260</v>
      </c>
      <c r="AL23" s="11" t="s">
        <v>261</v>
      </c>
      <c r="AM23" s="11" t="s">
        <v>10</v>
      </c>
    </row>
    <row r="24" spans="1:39" x14ac:dyDescent="0.2">
      <c r="A24" t="s">
        <v>143</v>
      </c>
      <c r="B24">
        <v>0.25664380072959603</v>
      </c>
      <c r="C24" t="s">
        <v>144</v>
      </c>
      <c r="D24" t="s">
        <v>204</v>
      </c>
      <c r="E24">
        <v>3</v>
      </c>
      <c r="F24">
        <v>7</v>
      </c>
      <c r="G24">
        <v>1</v>
      </c>
      <c r="H24">
        <v>3</v>
      </c>
      <c r="I24">
        <v>0</v>
      </c>
      <c r="J24">
        <v>0</v>
      </c>
      <c r="K24">
        <v>0</v>
      </c>
      <c r="M24">
        <f t="shared" si="0"/>
        <v>0.76993140218878808</v>
      </c>
      <c r="N24">
        <f t="shared" si="1"/>
        <v>1.7965066051071723</v>
      </c>
      <c r="O24">
        <f t="shared" si="2"/>
        <v>0.25664380072959603</v>
      </c>
      <c r="P24">
        <f t="shared" si="3"/>
        <v>0.76993140218878808</v>
      </c>
      <c r="Q24">
        <f t="shared" si="4"/>
        <v>0</v>
      </c>
      <c r="R24">
        <f t="shared" si="5"/>
        <v>0</v>
      </c>
      <c r="S24">
        <f t="shared" si="6"/>
        <v>0</v>
      </c>
      <c r="AF24" s="6" t="s">
        <v>256</v>
      </c>
      <c r="AG24" s="14">
        <v>0.23</v>
      </c>
      <c r="AH24" s="7">
        <v>239.42</v>
      </c>
      <c r="AI24">
        <f>AG24*AH24</f>
        <v>55.066600000000001</v>
      </c>
      <c r="AJ24" s="15">
        <f>AG24</f>
        <v>0.23</v>
      </c>
      <c r="AK24" s="11">
        <f>AJ24*AH24</f>
        <v>55.066600000000001</v>
      </c>
      <c r="AL24" s="11">
        <f>AK24/AI$27</f>
        <v>0.2559128487428684</v>
      </c>
      <c r="AM24" s="11">
        <f>(AL24*0.05*1000)/AH24</f>
        <v>5.3444333961838703E-2</v>
      </c>
    </row>
    <row r="25" spans="1:39" x14ac:dyDescent="0.2">
      <c r="A25" t="s">
        <v>126</v>
      </c>
      <c r="B25">
        <v>6.0000000000000002E-5</v>
      </c>
      <c r="C25" t="s">
        <v>127</v>
      </c>
      <c r="D25" t="s">
        <v>205</v>
      </c>
      <c r="E25">
        <v>12</v>
      </c>
      <c r="F25">
        <v>19</v>
      </c>
      <c r="G25">
        <v>4</v>
      </c>
      <c r="H25">
        <v>7</v>
      </c>
      <c r="I25">
        <v>2</v>
      </c>
      <c r="J25">
        <v>1</v>
      </c>
      <c r="K25">
        <v>0</v>
      </c>
      <c r="M25">
        <f t="shared" si="0"/>
        <v>7.2000000000000005E-4</v>
      </c>
      <c r="N25">
        <f t="shared" si="1"/>
        <v>1.14E-3</v>
      </c>
      <c r="O25">
        <f t="shared" si="2"/>
        <v>2.4000000000000001E-4</v>
      </c>
      <c r="P25">
        <f t="shared" si="3"/>
        <v>4.2000000000000002E-4</v>
      </c>
      <c r="Q25">
        <f t="shared" si="4"/>
        <v>1.2E-4</v>
      </c>
      <c r="R25">
        <f t="shared" si="5"/>
        <v>6.0000000000000002E-5</v>
      </c>
      <c r="S25">
        <f t="shared" si="6"/>
        <v>0</v>
      </c>
      <c r="V25" s="18" t="s">
        <v>269</v>
      </c>
      <c r="W25" s="12"/>
      <c r="X25" s="12"/>
      <c r="Y25" s="12"/>
      <c r="Z25" s="12"/>
      <c r="AA25" s="12"/>
      <c r="AB25" s="12"/>
      <c r="AC25" s="12"/>
      <c r="AF25" s="6" t="s">
        <v>257</v>
      </c>
      <c r="AG25" s="14">
        <v>0.42</v>
      </c>
      <c r="AH25" s="7">
        <v>265.46100000000001</v>
      </c>
      <c r="AI25">
        <f>AG25*AH25</f>
        <v>111.49362000000001</v>
      </c>
      <c r="AJ25" s="15">
        <f t="shared" ref="AJ25:AJ26" si="8">AG25</f>
        <v>0.42</v>
      </c>
      <c r="AK25" s="11">
        <f t="shared" ref="AK25:AK26" si="9">AJ25*AH25</f>
        <v>111.49362000000001</v>
      </c>
      <c r="AL25" s="11">
        <f>AK25/AI$27</f>
        <v>0.51814802277342076</v>
      </c>
      <c r="AM25" s="11">
        <f>(AL25*0.05*1000)/AH25</f>
        <v>9.7594001147705459E-2</v>
      </c>
    </row>
    <row r="26" spans="1:39" x14ac:dyDescent="0.2">
      <c r="A26" t="s">
        <v>29</v>
      </c>
      <c r="B26">
        <v>0.14858325305397699</v>
      </c>
      <c r="C26" t="s">
        <v>30</v>
      </c>
      <c r="D26" t="s">
        <v>206</v>
      </c>
      <c r="E26">
        <v>5</v>
      </c>
      <c r="F26">
        <v>11</v>
      </c>
      <c r="G26">
        <v>1</v>
      </c>
      <c r="H26">
        <v>2</v>
      </c>
      <c r="I26">
        <v>0</v>
      </c>
      <c r="J26">
        <v>1</v>
      </c>
      <c r="K26">
        <v>0</v>
      </c>
      <c r="M26">
        <f t="shared" si="0"/>
        <v>0.74291626526988497</v>
      </c>
      <c r="N26">
        <f t="shared" si="1"/>
        <v>1.634415783593747</v>
      </c>
      <c r="O26">
        <f t="shared" si="2"/>
        <v>0.14858325305397699</v>
      </c>
      <c r="P26">
        <f t="shared" si="3"/>
        <v>0.29716650610795398</v>
      </c>
      <c r="Q26">
        <f t="shared" si="4"/>
        <v>0</v>
      </c>
      <c r="R26">
        <f t="shared" si="5"/>
        <v>0.14858325305397699</v>
      </c>
      <c r="S26">
        <f t="shared" si="6"/>
        <v>0</v>
      </c>
      <c r="V26" s="11" t="s">
        <v>89</v>
      </c>
      <c r="W26" s="11" t="s">
        <v>90</v>
      </c>
      <c r="X26" s="11" t="s">
        <v>5</v>
      </c>
      <c r="Y26" s="11" t="s">
        <v>6</v>
      </c>
      <c r="Z26" s="11" t="s">
        <v>91</v>
      </c>
      <c r="AA26" s="11" t="s">
        <v>92</v>
      </c>
      <c r="AB26" s="11" t="s">
        <v>93</v>
      </c>
      <c r="AC26" s="11" t="s">
        <v>10</v>
      </c>
      <c r="AF26" s="6" t="s">
        <v>258</v>
      </c>
      <c r="AG26" s="14">
        <v>0.23</v>
      </c>
      <c r="AH26">
        <f>228.378-17</f>
        <v>211.37799999999999</v>
      </c>
      <c r="AI26">
        <f>AG26*AH26</f>
        <v>48.61694</v>
      </c>
      <c r="AJ26" s="15">
        <f t="shared" si="8"/>
        <v>0.23</v>
      </c>
      <c r="AK26" s="11">
        <f t="shared" si="9"/>
        <v>48.61694</v>
      </c>
      <c r="AL26" s="11">
        <f>AK26/AI$27</f>
        <v>0.22593912848371081</v>
      </c>
      <c r="AM26" s="11">
        <f>(AL26*0.05*1000)/AH26</f>
        <v>5.3444333961838709E-2</v>
      </c>
    </row>
    <row r="27" spans="1:39" x14ac:dyDescent="0.2">
      <c r="A27" t="s">
        <v>85</v>
      </c>
      <c r="B27">
        <v>3.0934068251803299E-2</v>
      </c>
      <c r="C27" t="s">
        <v>86</v>
      </c>
      <c r="D27" t="s">
        <v>207</v>
      </c>
      <c r="E27">
        <v>9</v>
      </c>
      <c r="F27">
        <v>15</v>
      </c>
      <c r="G27">
        <v>2</v>
      </c>
      <c r="H27">
        <v>15</v>
      </c>
      <c r="I27">
        <v>3</v>
      </c>
      <c r="J27">
        <v>0</v>
      </c>
      <c r="K27">
        <v>0</v>
      </c>
      <c r="M27">
        <f t="shared" si="0"/>
        <v>0.2784066142662297</v>
      </c>
      <c r="N27">
        <f t="shared" si="1"/>
        <v>0.4640110237770495</v>
      </c>
      <c r="O27">
        <f t="shared" si="2"/>
        <v>6.1868136503606598E-2</v>
      </c>
      <c r="P27">
        <f t="shared" si="3"/>
        <v>0.4640110237770495</v>
      </c>
      <c r="Q27">
        <f t="shared" si="4"/>
        <v>9.2802204755409901E-2</v>
      </c>
      <c r="R27">
        <f t="shared" si="5"/>
        <v>0</v>
      </c>
      <c r="S27">
        <f t="shared" si="6"/>
        <v>0</v>
      </c>
      <c r="V27" s="11" t="s">
        <v>88</v>
      </c>
      <c r="W27" s="11">
        <v>16.7</v>
      </c>
      <c r="X27" s="11">
        <v>507.2</v>
      </c>
      <c r="Y27" s="11">
        <v>347.2</v>
      </c>
      <c r="Z27" s="11">
        <v>0.16700000000000001</v>
      </c>
      <c r="AA27" s="11">
        <v>57.982399999999998</v>
      </c>
      <c r="AB27" s="11">
        <v>0.16985146960259101</v>
      </c>
      <c r="AC27" s="11">
        <f>(AB27*0.066*1000)/Y27</f>
        <v>3.2287433737819719E-2</v>
      </c>
      <c r="AH27" t="s">
        <v>255</v>
      </c>
      <c r="AI27">
        <f>SUM(AI24:AI26)</f>
        <v>215.17716000000001</v>
      </c>
    </row>
    <row r="28" spans="1:39" x14ac:dyDescent="0.2">
      <c r="A28" t="s">
        <v>145</v>
      </c>
      <c r="B28">
        <v>5.9095612010104402E-2</v>
      </c>
      <c r="C28" t="s">
        <v>146</v>
      </c>
      <c r="D28" t="s">
        <v>208</v>
      </c>
      <c r="E28">
        <v>11</v>
      </c>
      <c r="F28">
        <v>12</v>
      </c>
      <c r="G28">
        <v>2</v>
      </c>
      <c r="H28">
        <v>2</v>
      </c>
      <c r="I28">
        <v>0</v>
      </c>
      <c r="J28">
        <v>0</v>
      </c>
      <c r="K28">
        <v>0</v>
      </c>
      <c r="M28">
        <f t="shared" si="0"/>
        <v>0.65005173211114842</v>
      </c>
      <c r="N28">
        <f t="shared" si="1"/>
        <v>0.7091473441212528</v>
      </c>
      <c r="O28">
        <f t="shared" si="2"/>
        <v>0.1181912240202088</v>
      </c>
      <c r="P28">
        <f t="shared" si="3"/>
        <v>0.1181912240202088</v>
      </c>
      <c r="Q28">
        <f t="shared" si="4"/>
        <v>0</v>
      </c>
      <c r="R28">
        <f t="shared" si="5"/>
        <v>0</v>
      </c>
      <c r="S28">
        <f t="shared" si="6"/>
        <v>0</v>
      </c>
      <c r="V28" s="11" t="s">
        <v>98</v>
      </c>
      <c r="W28" s="11">
        <v>34.200000000000003</v>
      </c>
      <c r="X28" s="11">
        <v>523.20000000000005</v>
      </c>
      <c r="Y28" s="11">
        <v>363.2</v>
      </c>
      <c r="Z28" s="11">
        <v>0.34200000000000003</v>
      </c>
      <c r="AA28" s="11">
        <v>124.2144</v>
      </c>
      <c r="AB28" s="11">
        <v>0.363869008281894</v>
      </c>
      <c r="AC28" s="11">
        <f t="shared" ref="AC28:AC30" si="10">(AB28*0.066*1000)/Y28</f>
        <v>6.6121570888229647E-2</v>
      </c>
    </row>
    <row r="29" spans="1:39" x14ac:dyDescent="0.2">
      <c r="A29" t="s">
        <v>156</v>
      </c>
      <c r="B29">
        <v>0.19135721984224299</v>
      </c>
      <c r="C29" t="s">
        <v>157</v>
      </c>
      <c r="D29" t="s">
        <v>209</v>
      </c>
      <c r="E29">
        <v>9</v>
      </c>
      <c r="F29">
        <v>11</v>
      </c>
      <c r="G29">
        <v>1</v>
      </c>
      <c r="H29">
        <v>2</v>
      </c>
      <c r="I29">
        <v>0</v>
      </c>
      <c r="J29">
        <v>0</v>
      </c>
      <c r="K29">
        <v>0</v>
      </c>
      <c r="M29">
        <f t="shared" si="0"/>
        <v>1.722214978580187</v>
      </c>
      <c r="N29">
        <f t="shared" si="1"/>
        <v>2.1049294182646729</v>
      </c>
      <c r="O29">
        <f t="shared" si="2"/>
        <v>0.19135721984224299</v>
      </c>
      <c r="P29">
        <f t="shared" si="3"/>
        <v>0.38271443968448599</v>
      </c>
      <c r="Q29">
        <f t="shared" si="4"/>
        <v>0</v>
      </c>
      <c r="R29">
        <f t="shared" si="5"/>
        <v>0</v>
      </c>
      <c r="S29">
        <f t="shared" si="6"/>
        <v>0</v>
      </c>
      <c r="V29" s="11" t="s">
        <v>101</v>
      </c>
      <c r="W29" s="11">
        <v>33.200000000000003</v>
      </c>
      <c r="X29" s="11">
        <v>483.2</v>
      </c>
      <c r="Y29" s="11">
        <v>323.2</v>
      </c>
      <c r="Z29" s="11">
        <v>0.33200000000000002</v>
      </c>
      <c r="AA29" s="11">
        <v>107.30240000000001</v>
      </c>
      <c r="AB29" s="11">
        <v>0.31432762927862701</v>
      </c>
      <c r="AC29" s="11">
        <f t="shared" si="10"/>
        <v>6.4188191622491911E-2</v>
      </c>
    </row>
    <row r="30" spans="1:39" x14ac:dyDescent="0.2">
      <c r="A30" t="s">
        <v>83</v>
      </c>
      <c r="B30">
        <v>0.113125885847914</v>
      </c>
      <c r="C30" t="s">
        <v>84</v>
      </c>
      <c r="D30" t="s">
        <v>210</v>
      </c>
      <c r="E30">
        <v>9</v>
      </c>
      <c r="F30">
        <v>11</v>
      </c>
      <c r="G30">
        <v>1</v>
      </c>
      <c r="H30">
        <v>3</v>
      </c>
      <c r="I30">
        <v>0</v>
      </c>
      <c r="J30">
        <v>0</v>
      </c>
      <c r="K30">
        <v>0</v>
      </c>
      <c r="M30">
        <f t="shared" si="0"/>
        <v>1.018132972631226</v>
      </c>
      <c r="N30">
        <f t="shared" si="1"/>
        <v>1.2443847443270539</v>
      </c>
      <c r="O30">
        <f t="shared" si="2"/>
        <v>0.113125885847914</v>
      </c>
      <c r="P30">
        <f t="shared" si="3"/>
        <v>0.339377657543742</v>
      </c>
      <c r="Q30">
        <f t="shared" si="4"/>
        <v>0</v>
      </c>
      <c r="R30">
        <f t="shared" si="5"/>
        <v>0</v>
      </c>
      <c r="S30">
        <f t="shared" si="6"/>
        <v>0</v>
      </c>
      <c r="V30" s="11" t="s">
        <v>86</v>
      </c>
      <c r="W30" s="11">
        <v>16</v>
      </c>
      <c r="X30" s="11">
        <v>484.2</v>
      </c>
      <c r="Y30" s="11">
        <v>324.2</v>
      </c>
      <c r="Z30" s="11">
        <v>0.16</v>
      </c>
      <c r="AA30" s="11">
        <v>51.872</v>
      </c>
      <c r="AB30" s="11">
        <v>0.15195189283688801</v>
      </c>
      <c r="AC30" s="11">
        <f t="shared" si="10"/>
        <v>3.0934068251803237E-2</v>
      </c>
    </row>
    <row r="31" spans="1:39" x14ac:dyDescent="0.2">
      <c r="A31" t="s">
        <v>96</v>
      </c>
      <c r="B31">
        <v>3.0000000000000001E-6</v>
      </c>
      <c r="C31" t="s">
        <v>97</v>
      </c>
      <c r="D31" t="s">
        <v>212</v>
      </c>
      <c r="E31">
        <v>25</v>
      </c>
      <c r="F31">
        <v>40</v>
      </c>
      <c r="G31">
        <v>7</v>
      </c>
      <c r="H31">
        <v>19</v>
      </c>
      <c r="I31">
        <v>3</v>
      </c>
      <c r="J31">
        <v>1</v>
      </c>
      <c r="K31">
        <v>0</v>
      </c>
      <c r="M31">
        <f t="shared" si="0"/>
        <v>7.5000000000000007E-5</v>
      </c>
      <c r="N31">
        <f t="shared" si="1"/>
        <v>1.2E-4</v>
      </c>
      <c r="O31">
        <f t="shared" si="2"/>
        <v>2.1000000000000002E-5</v>
      </c>
      <c r="P31">
        <f t="shared" si="3"/>
        <v>5.7000000000000003E-5</v>
      </c>
      <c r="Q31">
        <f t="shared" si="4"/>
        <v>9.0000000000000002E-6</v>
      </c>
      <c r="R31">
        <f t="shared" si="5"/>
        <v>3.0000000000000001E-6</v>
      </c>
      <c r="S31">
        <f t="shared" si="6"/>
        <v>0</v>
      </c>
      <c r="V31" s="12"/>
      <c r="W31" s="12"/>
      <c r="X31" s="12"/>
      <c r="Y31" s="12"/>
      <c r="Z31" s="12" t="s">
        <v>254</v>
      </c>
      <c r="AA31" s="11">
        <v>283.3888</v>
      </c>
      <c r="AB31" s="12"/>
      <c r="AC31" s="11">
        <v>0.27270314543230401</v>
      </c>
    </row>
    <row r="32" spans="1:39" x14ac:dyDescent="0.2">
      <c r="A32" t="s">
        <v>79</v>
      </c>
      <c r="B32">
        <v>6.6975026944784993E-2</v>
      </c>
      <c r="C32" t="s">
        <v>80</v>
      </c>
      <c r="D32" t="s">
        <v>213</v>
      </c>
      <c r="E32">
        <v>3</v>
      </c>
      <c r="F32">
        <v>7</v>
      </c>
      <c r="G32">
        <v>1</v>
      </c>
      <c r="H32">
        <v>2</v>
      </c>
      <c r="I32">
        <v>0</v>
      </c>
      <c r="J32">
        <v>1</v>
      </c>
      <c r="K32">
        <v>0</v>
      </c>
      <c r="M32">
        <f t="shared" si="0"/>
        <v>0.20092508083435498</v>
      </c>
      <c r="N32">
        <f t="shared" si="1"/>
        <v>0.46882518861349498</v>
      </c>
      <c r="O32">
        <f t="shared" si="2"/>
        <v>6.6975026944784993E-2</v>
      </c>
      <c r="P32">
        <f t="shared" si="3"/>
        <v>0.13395005388956999</v>
      </c>
      <c r="Q32">
        <f t="shared" si="4"/>
        <v>0</v>
      </c>
      <c r="R32">
        <f t="shared" si="5"/>
        <v>6.6975026944784993E-2</v>
      </c>
      <c r="S32">
        <f t="shared" si="6"/>
        <v>0</v>
      </c>
    </row>
    <row r="33" spans="1:31" x14ac:dyDescent="0.2">
      <c r="A33" t="s">
        <v>104</v>
      </c>
      <c r="B33">
        <v>3.0000000000000001E-3</v>
      </c>
      <c r="C33" t="s">
        <v>105</v>
      </c>
      <c r="D33" t="s">
        <v>214</v>
      </c>
      <c r="E33">
        <v>6</v>
      </c>
      <c r="F33">
        <v>13</v>
      </c>
      <c r="G33">
        <v>0</v>
      </c>
      <c r="H33">
        <v>9</v>
      </c>
      <c r="I33">
        <v>1</v>
      </c>
      <c r="J33">
        <v>0</v>
      </c>
      <c r="K33">
        <v>0</v>
      </c>
      <c r="M33">
        <f t="shared" si="0"/>
        <v>1.8000000000000002E-2</v>
      </c>
      <c r="N33">
        <f t="shared" si="1"/>
        <v>3.9E-2</v>
      </c>
      <c r="O33">
        <f t="shared" si="2"/>
        <v>0</v>
      </c>
      <c r="P33">
        <f t="shared" si="3"/>
        <v>2.7E-2</v>
      </c>
      <c r="Q33">
        <f t="shared" si="4"/>
        <v>3.0000000000000001E-3</v>
      </c>
      <c r="R33">
        <f t="shared" si="5"/>
        <v>0</v>
      </c>
      <c r="S33">
        <f t="shared" si="6"/>
        <v>0</v>
      </c>
      <c r="V33" s="2" t="s">
        <v>270</v>
      </c>
      <c r="W33" s="2"/>
      <c r="X33" s="2"/>
      <c r="Y33" s="2"/>
      <c r="Z33" s="2"/>
      <c r="AA33" s="2"/>
      <c r="AB33" s="2"/>
      <c r="AC33" s="2"/>
      <c r="AD33" s="2"/>
      <c r="AE33" s="2"/>
    </row>
    <row r="34" spans="1:31" x14ac:dyDescent="0.2">
      <c r="A34" t="s">
        <v>154</v>
      </c>
      <c r="B34">
        <v>0.51666449357405597</v>
      </c>
      <c r="C34" t="s">
        <v>155</v>
      </c>
      <c r="D34" t="s">
        <v>215</v>
      </c>
      <c r="E34">
        <v>6</v>
      </c>
      <c r="F34">
        <v>13</v>
      </c>
      <c r="G34">
        <v>1</v>
      </c>
      <c r="H34">
        <v>2</v>
      </c>
      <c r="I34">
        <v>0</v>
      </c>
      <c r="J34">
        <v>0</v>
      </c>
      <c r="K34">
        <v>0</v>
      </c>
      <c r="M34">
        <f t="shared" si="0"/>
        <v>3.0999869614443361</v>
      </c>
      <c r="N34">
        <f t="shared" si="1"/>
        <v>6.716638416462728</v>
      </c>
      <c r="O34">
        <f t="shared" si="2"/>
        <v>0.51666449357405597</v>
      </c>
      <c r="P34">
        <f t="shared" si="3"/>
        <v>1.0333289871481119</v>
      </c>
      <c r="Q34">
        <f t="shared" si="4"/>
        <v>0</v>
      </c>
      <c r="R34">
        <f t="shared" si="5"/>
        <v>0</v>
      </c>
      <c r="S34">
        <f t="shared" si="6"/>
        <v>0</v>
      </c>
      <c r="V34" s="2" t="s">
        <v>112</v>
      </c>
      <c r="W34" s="2" t="s">
        <v>113</v>
      </c>
      <c r="X34" s="2" t="s">
        <v>90</v>
      </c>
      <c r="Y34" s="2" t="s">
        <v>5</v>
      </c>
      <c r="Z34" s="2" t="s">
        <v>6</v>
      </c>
      <c r="AA34" s="2" t="s">
        <v>114</v>
      </c>
      <c r="AB34" s="2" t="s">
        <v>115</v>
      </c>
      <c r="AC34" s="2" t="s">
        <v>116</v>
      </c>
      <c r="AD34" s="3" t="s">
        <v>10</v>
      </c>
      <c r="AE34" s="3"/>
    </row>
    <row r="35" spans="1:31" x14ac:dyDescent="0.2">
      <c r="A35" t="s">
        <v>58</v>
      </c>
      <c r="B35">
        <v>9.5991437183648894E-3</v>
      </c>
      <c r="C35" t="s">
        <v>59</v>
      </c>
      <c r="D35" t="s">
        <v>216</v>
      </c>
      <c r="E35">
        <v>10</v>
      </c>
      <c r="F35">
        <v>16</v>
      </c>
      <c r="G35">
        <v>5</v>
      </c>
      <c r="H35">
        <v>12</v>
      </c>
      <c r="I35">
        <v>3</v>
      </c>
      <c r="J35">
        <v>0</v>
      </c>
      <c r="K35">
        <v>0</v>
      </c>
      <c r="M35">
        <f t="shared" si="0"/>
        <v>9.5991437183648887E-2</v>
      </c>
      <c r="N35">
        <f t="shared" si="1"/>
        <v>0.15358629949383823</v>
      </c>
      <c r="O35">
        <f t="shared" si="2"/>
        <v>4.7995718591824443E-2</v>
      </c>
      <c r="P35">
        <f t="shared" si="3"/>
        <v>0.11518972462037867</v>
      </c>
      <c r="Q35">
        <f t="shared" si="4"/>
        <v>2.8797431155094668E-2</v>
      </c>
      <c r="R35">
        <f t="shared" si="5"/>
        <v>0</v>
      </c>
      <c r="S35">
        <f t="shared" si="6"/>
        <v>0</v>
      </c>
      <c r="V35" s="8" t="s">
        <v>119</v>
      </c>
      <c r="W35" s="8">
        <v>740955</v>
      </c>
      <c r="X35" s="9">
        <f>W35/W39</f>
        <v>0.17502941546782347</v>
      </c>
      <c r="Y35" s="10">
        <v>491.2</v>
      </c>
      <c r="Z35" s="10">
        <v>313.2</v>
      </c>
      <c r="AA35" s="8">
        <f>(X35+X36)/2</f>
        <v>0.174436972237137</v>
      </c>
      <c r="AB35" s="8">
        <f>Z35*AA35</f>
        <v>54.633659704671309</v>
      </c>
      <c r="AC35" s="8">
        <f>AB35/308.92636</f>
        <v>0.17685010662305189</v>
      </c>
      <c r="AD35" s="8">
        <f>(AC35*0.017*1000)/Z35</f>
        <v>9.5991437183648876E-3</v>
      </c>
      <c r="AE35" s="8"/>
    </row>
    <row r="36" spans="1:31" x14ac:dyDescent="0.2">
      <c r="A36" t="s">
        <v>81</v>
      </c>
      <c r="B36">
        <v>0.127759085012321</v>
      </c>
      <c r="C36" t="s">
        <v>82</v>
      </c>
      <c r="D36" t="s">
        <v>217</v>
      </c>
      <c r="E36">
        <v>6</v>
      </c>
      <c r="F36">
        <v>9</v>
      </c>
      <c r="G36">
        <v>3</v>
      </c>
      <c r="H36">
        <v>2</v>
      </c>
      <c r="I36">
        <v>0</v>
      </c>
      <c r="J36">
        <v>0</v>
      </c>
      <c r="K36">
        <v>0</v>
      </c>
      <c r="M36">
        <f t="shared" si="0"/>
        <v>0.76655451007392594</v>
      </c>
      <c r="N36">
        <f t="shared" si="1"/>
        <v>1.1498317651108889</v>
      </c>
      <c r="O36">
        <f t="shared" si="2"/>
        <v>0.38327725503696297</v>
      </c>
      <c r="P36">
        <f t="shared" si="3"/>
        <v>0.255518170024642</v>
      </c>
      <c r="Q36">
        <f t="shared" si="4"/>
        <v>0</v>
      </c>
      <c r="R36">
        <f t="shared" si="5"/>
        <v>0</v>
      </c>
      <c r="S36">
        <f t="shared" si="6"/>
        <v>0</v>
      </c>
      <c r="V36" s="8" t="s">
        <v>122</v>
      </c>
      <c r="W36" s="8">
        <v>735939</v>
      </c>
      <c r="X36" s="9">
        <f>W36/W39</f>
        <v>0.1738445290064505</v>
      </c>
      <c r="Y36" s="10">
        <v>482.2</v>
      </c>
      <c r="Z36" s="10">
        <v>304.2</v>
      </c>
      <c r="AA36" s="8">
        <f>(X35+X36)/2</f>
        <v>0.174436972237137</v>
      </c>
      <c r="AB36" s="8">
        <f>Z36*AA36</f>
        <v>53.063726954537074</v>
      </c>
      <c r="AC36" s="8">
        <f>AB36/308.92636</f>
        <v>0.17176820700744694</v>
      </c>
      <c r="AD36" s="8">
        <f t="shared" ref="AD36:AD38" si="11">(AC36*0.017*1000)/Z36</f>
        <v>9.5991437183648842E-3</v>
      </c>
      <c r="AE36" s="8"/>
    </row>
    <row r="37" spans="1:31" x14ac:dyDescent="0.2">
      <c r="A37" t="s">
        <v>76</v>
      </c>
      <c r="B37">
        <v>0.30392029033767998</v>
      </c>
      <c r="C37" t="s">
        <v>77</v>
      </c>
      <c r="D37" t="s">
        <v>218</v>
      </c>
      <c r="E37">
        <v>5</v>
      </c>
      <c r="F37">
        <v>9</v>
      </c>
      <c r="G37">
        <v>1</v>
      </c>
      <c r="H37">
        <v>2</v>
      </c>
      <c r="I37">
        <v>0</v>
      </c>
      <c r="J37">
        <v>0</v>
      </c>
      <c r="K37">
        <v>0</v>
      </c>
      <c r="M37">
        <f t="shared" si="0"/>
        <v>1.5196014516883998</v>
      </c>
      <c r="N37">
        <f t="shared" si="1"/>
        <v>2.7352826130391197</v>
      </c>
      <c r="O37">
        <f t="shared" si="2"/>
        <v>0.30392029033767998</v>
      </c>
      <c r="P37">
        <f t="shared" si="3"/>
        <v>0.60784058067535995</v>
      </c>
      <c r="Q37">
        <f t="shared" si="4"/>
        <v>0</v>
      </c>
      <c r="R37">
        <f t="shared" si="5"/>
        <v>0</v>
      </c>
      <c r="S37">
        <f t="shared" si="6"/>
        <v>0</v>
      </c>
      <c r="V37" s="8" t="s">
        <v>125</v>
      </c>
      <c r="W37" s="8">
        <v>1379084</v>
      </c>
      <c r="X37" s="9">
        <f>W37/W39</f>
        <v>0.32576913092026888</v>
      </c>
      <c r="Y37" s="10">
        <v>507.2</v>
      </c>
      <c r="Z37" s="10">
        <v>329.2</v>
      </c>
      <c r="AA37" s="8">
        <f>(X37+X38)/2</f>
        <v>0.325563027762863</v>
      </c>
      <c r="AB37" s="8">
        <f>Z37*AA37</f>
        <v>107.1753487395345</v>
      </c>
      <c r="AC37" s="8">
        <f>AB37/308.92636</f>
        <v>0.34692846780551362</v>
      </c>
      <c r="AD37" s="8">
        <f t="shared" si="11"/>
        <v>1.7915504109033208E-2</v>
      </c>
      <c r="AE37" s="8"/>
    </row>
    <row r="38" spans="1:31" x14ac:dyDescent="0.2">
      <c r="A38" t="s">
        <v>136</v>
      </c>
      <c r="B38">
        <v>0.133387238537093</v>
      </c>
      <c r="C38" t="s">
        <v>137</v>
      </c>
      <c r="D38" t="s">
        <v>219</v>
      </c>
      <c r="E38">
        <v>4</v>
      </c>
      <c r="F38">
        <v>8</v>
      </c>
      <c r="G38">
        <v>2</v>
      </c>
      <c r="H38">
        <v>3</v>
      </c>
      <c r="I38">
        <v>0</v>
      </c>
      <c r="J38">
        <v>0</v>
      </c>
      <c r="K38">
        <v>0</v>
      </c>
      <c r="M38">
        <f t="shared" si="0"/>
        <v>0.533548954148372</v>
      </c>
      <c r="N38">
        <f t="shared" si="1"/>
        <v>1.067097908296744</v>
      </c>
      <c r="O38">
        <f t="shared" si="2"/>
        <v>0.266774477074186</v>
      </c>
      <c r="P38">
        <f t="shared" si="3"/>
        <v>0.400161715611279</v>
      </c>
      <c r="Q38">
        <f t="shared" si="4"/>
        <v>0</v>
      </c>
      <c r="R38">
        <f t="shared" si="5"/>
        <v>0</v>
      </c>
      <c r="S38">
        <f t="shared" si="6"/>
        <v>0</v>
      </c>
      <c r="V38" s="8" t="s">
        <v>108</v>
      </c>
      <c r="W38" s="8">
        <v>1377339</v>
      </c>
      <c r="X38" s="9">
        <f>W38/W39</f>
        <v>0.32535692460545712</v>
      </c>
      <c r="Y38" s="10">
        <v>467.2</v>
      </c>
      <c r="Z38" s="10">
        <v>289.2</v>
      </c>
      <c r="AA38" s="8">
        <f>(X37+X38)/2</f>
        <v>0.325563027762863</v>
      </c>
      <c r="AB38" s="8">
        <f>Z38*AA38</f>
        <v>94.152827629019981</v>
      </c>
      <c r="AC38" s="8">
        <f>AB38/308.92636</f>
        <v>0.30477434049014135</v>
      </c>
      <c r="AD38" s="8">
        <f t="shared" si="11"/>
        <v>1.7915504109033208E-2</v>
      </c>
      <c r="AE38" s="8"/>
    </row>
    <row r="39" spans="1:31" x14ac:dyDescent="0.2">
      <c r="A39" t="s">
        <v>170</v>
      </c>
      <c r="B39" s="16">
        <v>1.7701392295686302E-2</v>
      </c>
      <c r="C39" t="s">
        <v>149</v>
      </c>
      <c r="D39" t="s">
        <v>220</v>
      </c>
      <c r="E39">
        <v>10</v>
      </c>
      <c r="F39">
        <v>18</v>
      </c>
      <c r="G39">
        <v>1</v>
      </c>
      <c r="H39">
        <v>8</v>
      </c>
      <c r="I39">
        <v>1</v>
      </c>
      <c r="J39">
        <v>0</v>
      </c>
      <c r="K39">
        <v>0</v>
      </c>
      <c r="M39">
        <f t="shared" si="0"/>
        <v>0.17701392295686302</v>
      </c>
      <c r="N39">
        <f t="shared" si="1"/>
        <v>0.31862506132235341</v>
      </c>
      <c r="O39">
        <f t="shared" si="2"/>
        <v>1.7701392295686302E-2</v>
      </c>
      <c r="P39">
        <f t="shared" si="3"/>
        <v>0.14161113836549041</v>
      </c>
      <c r="Q39">
        <f t="shared" si="4"/>
        <v>1.7701392295686302E-2</v>
      </c>
      <c r="R39">
        <f t="shared" si="5"/>
        <v>0</v>
      </c>
      <c r="S39">
        <f t="shared" si="6"/>
        <v>0</v>
      </c>
      <c r="V39" s="8" t="s">
        <v>254</v>
      </c>
      <c r="W39" s="8">
        <f>SUM(W35:W38)</f>
        <v>4233317</v>
      </c>
      <c r="X39" s="9"/>
      <c r="Y39" s="8"/>
      <c r="Z39" s="8"/>
      <c r="AA39" s="8"/>
      <c r="AB39" s="8">
        <f>SUM(AB35:AB38)</f>
        <v>309.02556302776281</v>
      </c>
      <c r="AC39" s="8"/>
      <c r="AD39" s="8">
        <f>SUM(AD35:AD38)</f>
        <v>5.5029295654796195E-2</v>
      </c>
      <c r="AE39" s="8"/>
    </row>
    <row r="40" spans="1:31" x14ac:dyDescent="0.2">
      <c r="A40" t="s">
        <v>152</v>
      </c>
      <c r="B40">
        <v>0.42436277576779702</v>
      </c>
      <c r="C40" t="s">
        <v>153</v>
      </c>
      <c r="D40" t="s">
        <v>221</v>
      </c>
      <c r="E40">
        <v>5</v>
      </c>
      <c r="F40">
        <v>11</v>
      </c>
      <c r="G40">
        <v>1</v>
      </c>
      <c r="H40">
        <v>2</v>
      </c>
      <c r="I40">
        <v>0</v>
      </c>
      <c r="J40">
        <v>0</v>
      </c>
      <c r="K40">
        <v>0</v>
      </c>
      <c r="M40">
        <f t="shared" si="0"/>
        <v>2.1218138788389851</v>
      </c>
      <c r="N40">
        <f t="shared" si="1"/>
        <v>4.6679905334457672</v>
      </c>
      <c r="O40">
        <f t="shared" si="2"/>
        <v>0.42436277576779702</v>
      </c>
      <c r="P40">
        <f t="shared" si="3"/>
        <v>0.84872555153559404</v>
      </c>
      <c r="Q40">
        <f t="shared" si="4"/>
        <v>0</v>
      </c>
      <c r="R40">
        <f t="shared" si="5"/>
        <v>0</v>
      </c>
      <c r="S40">
        <f t="shared" si="6"/>
        <v>0</v>
      </c>
    </row>
    <row r="41" spans="1:31" x14ac:dyDescent="0.2">
      <c r="A41" t="s">
        <v>147</v>
      </c>
      <c r="B41">
        <v>0.29378961399309</v>
      </c>
      <c r="C41" t="s">
        <v>148</v>
      </c>
      <c r="D41" t="s">
        <v>222</v>
      </c>
      <c r="E41">
        <v>4</v>
      </c>
      <c r="F41">
        <v>9</v>
      </c>
      <c r="G41">
        <v>1</v>
      </c>
      <c r="H41">
        <v>3</v>
      </c>
      <c r="I41">
        <v>0</v>
      </c>
      <c r="J41">
        <v>0</v>
      </c>
      <c r="K41">
        <v>0</v>
      </c>
      <c r="M41">
        <f t="shared" si="0"/>
        <v>1.17515845597236</v>
      </c>
      <c r="N41">
        <f t="shared" si="1"/>
        <v>2.64410652593781</v>
      </c>
      <c r="O41">
        <f t="shared" si="2"/>
        <v>0.29378961399309</v>
      </c>
      <c r="P41">
        <f t="shared" si="3"/>
        <v>0.88136884197927001</v>
      </c>
      <c r="Q41">
        <f t="shared" si="4"/>
        <v>0</v>
      </c>
      <c r="R41">
        <f t="shared" si="5"/>
        <v>0</v>
      </c>
      <c r="S41">
        <f t="shared" si="6"/>
        <v>0</v>
      </c>
    </row>
    <row r="42" spans="1:31" x14ac:dyDescent="0.2">
      <c r="A42" t="s">
        <v>120</v>
      </c>
      <c r="B42">
        <v>9.5991437183648894E-3</v>
      </c>
      <c r="C42" t="s">
        <v>121</v>
      </c>
      <c r="D42" t="s">
        <v>223</v>
      </c>
      <c r="E42">
        <v>10</v>
      </c>
      <c r="F42">
        <v>15</v>
      </c>
      <c r="G42">
        <v>5</v>
      </c>
      <c r="H42">
        <v>9</v>
      </c>
      <c r="I42">
        <v>2</v>
      </c>
      <c r="J42">
        <v>0</v>
      </c>
      <c r="K42">
        <v>0</v>
      </c>
      <c r="M42">
        <f t="shared" si="0"/>
        <v>9.5991437183648887E-2</v>
      </c>
      <c r="N42">
        <f t="shared" si="1"/>
        <v>0.14398715577547333</v>
      </c>
      <c r="O42">
        <f t="shared" si="2"/>
        <v>4.7995718591824443E-2</v>
      </c>
      <c r="P42">
        <f t="shared" si="3"/>
        <v>8.6392293465284001E-2</v>
      </c>
      <c r="Q42">
        <f t="shared" si="4"/>
        <v>1.9198287436729779E-2</v>
      </c>
      <c r="R42">
        <f t="shared" si="5"/>
        <v>0</v>
      </c>
      <c r="S42">
        <f t="shared" si="6"/>
        <v>0</v>
      </c>
    </row>
    <row r="43" spans="1:31" x14ac:dyDescent="0.2">
      <c r="A43" t="s">
        <v>180</v>
      </c>
      <c r="B43">
        <v>4.9599999999999998E-2</v>
      </c>
      <c r="C43" t="s">
        <v>225</v>
      </c>
      <c r="D43" t="s">
        <v>224</v>
      </c>
      <c r="E43">
        <v>16</v>
      </c>
      <c r="F43">
        <v>32</v>
      </c>
      <c r="G43">
        <v>0</v>
      </c>
      <c r="H43">
        <v>2</v>
      </c>
      <c r="I43">
        <v>0</v>
      </c>
      <c r="J43">
        <v>0</v>
      </c>
      <c r="K43">
        <v>0</v>
      </c>
      <c r="M43">
        <f t="shared" si="0"/>
        <v>0.79359999999999997</v>
      </c>
      <c r="N43">
        <f t="shared" si="1"/>
        <v>1.5871999999999999</v>
      </c>
      <c r="O43">
        <f t="shared" si="2"/>
        <v>0</v>
      </c>
      <c r="P43">
        <f t="shared" si="3"/>
        <v>9.9199999999999997E-2</v>
      </c>
      <c r="Q43">
        <f t="shared" si="4"/>
        <v>0</v>
      </c>
      <c r="R43">
        <f t="shared" si="5"/>
        <v>0</v>
      </c>
      <c r="S43">
        <f t="shared" si="6"/>
        <v>0</v>
      </c>
    </row>
    <row r="44" spans="1:31" x14ac:dyDescent="0.2">
      <c r="A44" t="s">
        <v>22</v>
      </c>
      <c r="B44">
        <v>6.0000000000000002E-5</v>
      </c>
      <c r="C44" t="s">
        <v>23</v>
      </c>
      <c r="D44" t="s">
        <v>226</v>
      </c>
      <c r="E44">
        <v>17</v>
      </c>
      <c r="F44">
        <v>20</v>
      </c>
      <c r="G44">
        <v>4</v>
      </c>
      <c r="H44">
        <v>6</v>
      </c>
      <c r="I44">
        <v>0</v>
      </c>
      <c r="J44">
        <v>0</v>
      </c>
      <c r="K44">
        <v>0</v>
      </c>
      <c r="M44">
        <f t="shared" si="0"/>
        <v>1.0200000000000001E-3</v>
      </c>
      <c r="N44">
        <f t="shared" si="1"/>
        <v>1.2000000000000001E-3</v>
      </c>
      <c r="O44">
        <f t="shared" si="2"/>
        <v>2.4000000000000001E-4</v>
      </c>
      <c r="P44">
        <f t="shared" si="3"/>
        <v>3.6000000000000002E-4</v>
      </c>
      <c r="Q44">
        <f t="shared" si="4"/>
        <v>0</v>
      </c>
      <c r="R44">
        <f t="shared" si="5"/>
        <v>0</v>
      </c>
      <c r="S44">
        <f t="shared" si="6"/>
        <v>0</v>
      </c>
    </row>
    <row r="45" spans="1:31" x14ac:dyDescent="0.2">
      <c r="A45" t="s">
        <v>117</v>
      </c>
      <c r="B45">
        <v>1.7915504109033201E-2</v>
      </c>
      <c r="C45" t="s">
        <v>118</v>
      </c>
      <c r="D45" t="s">
        <v>184</v>
      </c>
      <c r="E45">
        <v>10</v>
      </c>
      <c r="F45">
        <v>16</v>
      </c>
      <c r="G45">
        <v>5</v>
      </c>
      <c r="H45">
        <v>13</v>
      </c>
      <c r="I45">
        <v>3</v>
      </c>
      <c r="J45">
        <v>0</v>
      </c>
      <c r="K45">
        <v>0</v>
      </c>
      <c r="M45">
        <f t="shared" si="0"/>
        <v>0.17915504109033201</v>
      </c>
      <c r="N45">
        <f t="shared" si="1"/>
        <v>0.28664806574453122</v>
      </c>
      <c r="O45">
        <f t="shared" si="2"/>
        <v>8.9577520545166003E-2</v>
      </c>
      <c r="P45">
        <f t="shared" si="3"/>
        <v>0.23290155341743163</v>
      </c>
      <c r="Q45">
        <f t="shared" si="4"/>
        <v>5.3746512327099608E-2</v>
      </c>
      <c r="R45">
        <f t="shared" si="5"/>
        <v>0</v>
      </c>
      <c r="S45">
        <f t="shared" si="6"/>
        <v>0</v>
      </c>
    </row>
    <row r="46" spans="1:31" x14ac:dyDescent="0.2">
      <c r="A46" t="s">
        <v>64</v>
      </c>
      <c r="B46">
        <v>4.2000000000000003E-2</v>
      </c>
      <c r="C46" t="s">
        <v>65</v>
      </c>
      <c r="D46" t="s">
        <v>227</v>
      </c>
      <c r="E46">
        <v>7</v>
      </c>
      <c r="F46">
        <v>19</v>
      </c>
      <c r="G46">
        <v>3</v>
      </c>
      <c r="H46">
        <v>0</v>
      </c>
      <c r="I46">
        <v>0</v>
      </c>
      <c r="J46">
        <v>0</v>
      </c>
      <c r="K46">
        <v>0</v>
      </c>
      <c r="M46">
        <f t="shared" si="0"/>
        <v>0.29400000000000004</v>
      </c>
      <c r="N46">
        <f t="shared" si="1"/>
        <v>0.79800000000000004</v>
      </c>
      <c r="O46">
        <f t="shared" si="2"/>
        <v>0.126</v>
      </c>
      <c r="P46">
        <f t="shared" si="3"/>
        <v>0</v>
      </c>
      <c r="Q46">
        <f t="shared" si="4"/>
        <v>0</v>
      </c>
      <c r="R46">
        <f t="shared" si="5"/>
        <v>0</v>
      </c>
      <c r="S46">
        <f t="shared" si="6"/>
        <v>0</v>
      </c>
    </row>
    <row r="47" spans="1:31" x14ac:dyDescent="0.2">
      <c r="A47" t="s">
        <v>52</v>
      </c>
      <c r="B47" s="16">
        <v>3.9828132665294197E-2</v>
      </c>
      <c r="C47" t="s">
        <v>53</v>
      </c>
      <c r="D47" t="s">
        <v>228</v>
      </c>
      <c r="E47">
        <v>8</v>
      </c>
      <c r="F47">
        <v>13</v>
      </c>
      <c r="G47">
        <v>0</v>
      </c>
      <c r="H47">
        <v>10</v>
      </c>
      <c r="I47">
        <v>1</v>
      </c>
      <c r="J47">
        <v>0</v>
      </c>
      <c r="K47">
        <v>0</v>
      </c>
      <c r="M47">
        <f t="shared" si="0"/>
        <v>0.31862506132235358</v>
      </c>
      <c r="N47">
        <f t="shared" si="1"/>
        <v>0.51776572464882453</v>
      </c>
      <c r="O47">
        <f t="shared" si="2"/>
        <v>0</v>
      </c>
      <c r="P47">
        <f t="shared" si="3"/>
        <v>0.39828132665294197</v>
      </c>
      <c r="Q47">
        <f t="shared" si="4"/>
        <v>3.9828132665294197E-2</v>
      </c>
      <c r="R47">
        <f t="shared" si="5"/>
        <v>0</v>
      </c>
      <c r="S47">
        <f t="shared" si="6"/>
        <v>0</v>
      </c>
    </row>
    <row r="48" spans="1:31" x14ac:dyDescent="0.2">
      <c r="A48" t="s">
        <v>46</v>
      </c>
      <c r="B48" s="16">
        <v>3.5402784591372603E-2</v>
      </c>
      <c r="C48" t="s">
        <v>47</v>
      </c>
      <c r="D48" t="s">
        <v>229</v>
      </c>
      <c r="E48">
        <v>7</v>
      </c>
      <c r="F48">
        <v>12</v>
      </c>
      <c r="G48">
        <v>1</v>
      </c>
      <c r="H48">
        <v>8</v>
      </c>
      <c r="I48">
        <v>1</v>
      </c>
      <c r="J48">
        <v>0</v>
      </c>
      <c r="K48">
        <v>0</v>
      </c>
      <c r="M48">
        <f t="shared" si="0"/>
        <v>0.24781949213960822</v>
      </c>
      <c r="N48">
        <f t="shared" si="1"/>
        <v>0.42483341509647121</v>
      </c>
      <c r="O48">
        <f t="shared" si="2"/>
        <v>3.5402784591372603E-2</v>
      </c>
      <c r="P48">
        <f t="shared" si="3"/>
        <v>0.28322227673098083</v>
      </c>
      <c r="Q48">
        <f t="shared" si="4"/>
        <v>3.5402784591372603E-2</v>
      </c>
      <c r="R48">
        <f t="shared" si="5"/>
        <v>0</v>
      </c>
      <c r="S48">
        <f t="shared" si="6"/>
        <v>0</v>
      </c>
    </row>
    <row r="49" spans="1:19" x14ac:dyDescent="0.2">
      <c r="A49" t="s">
        <v>150</v>
      </c>
      <c r="B49">
        <v>0.27240263059895697</v>
      </c>
      <c r="C49" t="s">
        <v>151</v>
      </c>
      <c r="D49" t="s">
        <v>215</v>
      </c>
      <c r="E49">
        <v>6</v>
      </c>
      <c r="F49">
        <v>13</v>
      </c>
      <c r="G49">
        <v>1</v>
      </c>
      <c r="H49">
        <v>2</v>
      </c>
      <c r="I49">
        <v>0</v>
      </c>
      <c r="J49">
        <v>0</v>
      </c>
      <c r="K49">
        <v>0</v>
      </c>
      <c r="M49">
        <f t="shared" si="0"/>
        <v>1.6344157835937418</v>
      </c>
      <c r="N49">
        <f t="shared" si="1"/>
        <v>3.5412341977864408</v>
      </c>
      <c r="O49">
        <f t="shared" si="2"/>
        <v>0.27240263059895697</v>
      </c>
      <c r="P49">
        <f t="shared" si="3"/>
        <v>0.54480526119791395</v>
      </c>
      <c r="Q49">
        <f t="shared" si="4"/>
        <v>0</v>
      </c>
      <c r="R49">
        <f t="shared" si="5"/>
        <v>0</v>
      </c>
      <c r="S49">
        <f t="shared" si="6"/>
        <v>0</v>
      </c>
    </row>
    <row r="50" spans="1:19" x14ac:dyDescent="0.2">
      <c r="A50" t="s">
        <v>67</v>
      </c>
      <c r="B50">
        <v>0.05</v>
      </c>
      <c r="C50" t="s">
        <v>68</v>
      </c>
      <c r="D50" t="s">
        <v>230</v>
      </c>
      <c r="E50">
        <v>2</v>
      </c>
      <c r="F50">
        <v>25</v>
      </c>
      <c r="G50">
        <v>7</v>
      </c>
      <c r="H50">
        <v>6</v>
      </c>
      <c r="I50">
        <v>0</v>
      </c>
      <c r="J50">
        <v>0</v>
      </c>
      <c r="K50">
        <v>0</v>
      </c>
      <c r="M50">
        <f t="shared" si="0"/>
        <v>0.1</v>
      </c>
      <c r="N50">
        <f t="shared" si="1"/>
        <v>1.25</v>
      </c>
      <c r="O50">
        <f t="shared" si="2"/>
        <v>0.35000000000000003</v>
      </c>
      <c r="P50">
        <f t="shared" si="3"/>
        <v>0.30000000000000004</v>
      </c>
      <c r="Q50">
        <f t="shared" si="4"/>
        <v>0</v>
      </c>
      <c r="R50">
        <f t="shared" si="5"/>
        <v>0</v>
      </c>
      <c r="S50">
        <f t="shared" si="6"/>
        <v>0</v>
      </c>
    </row>
    <row r="51" spans="1:19" x14ac:dyDescent="0.2">
      <c r="A51" t="s">
        <v>107</v>
      </c>
      <c r="B51">
        <v>1.7915504109033201E-2</v>
      </c>
      <c r="C51" t="s">
        <v>108</v>
      </c>
      <c r="D51" t="s">
        <v>231</v>
      </c>
      <c r="E51">
        <v>9</v>
      </c>
      <c r="F51">
        <v>16</v>
      </c>
      <c r="G51">
        <v>3</v>
      </c>
      <c r="H51">
        <v>13</v>
      </c>
      <c r="I51">
        <v>3</v>
      </c>
      <c r="J51">
        <v>0</v>
      </c>
      <c r="K51">
        <v>0</v>
      </c>
      <c r="M51">
        <f t="shared" si="0"/>
        <v>0.16123953698129881</v>
      </c>
      <c r="N51">
        <f t="shared" si="1"/>
        <v>0.28664806574453122</v>
      </c>
      <c r="O51">
        <f t="shared" si="2"/>
        <v>5.3746512327099608E-2</v>
      </c>
      <c r="P51">
        <f t="shared" si="3"/>
        <v>0.23290155341743163</v>
      </c>
      <c r="Q51">
        <f t="shared" si="4"/>
        <v>5.3746512327099608E-2</v>
      </c>
      <c r="R51">
        <f t="shared" si="5"/>
        <v>0</v>
      </c>
      <c r="S51">
        <f t="shared" si="6"/>
        <v>0</v>
      </c>
    </row>
    <row r="52" spans="1:19" x14ac:dyDescent="0.2">
      <c r="A52" t="s">
        <v>109</v>
      </c>
      <c r="B52">
        <v>9.5991437183648807E-3</v>
      </c>
      <c r="C52" t="s">
        <v>110</v>
      </c>
      <c r="D52" t="s">
        <v>232</v>
      </c>
      <c r="E52">
        <v>10</v>
      </c>
      <c r="F52">
        <v>17</v>
      </c>
      <c r="G52">
        <v>2</v>
      </c>
      <c r="H52">
        <v>14</v>
      </c>
      <c r="I52">
        <v>3</v>
      </c>
      <c r="J52">
        <v>0</v>
      </c>
      <c r="K52">
        <v>0</v>
      </c>
      <c r="M52">
        <f t="shared" si="0"/>
        <v>9.5991437183648803E-2</v>
      </c>
      <c r="N52">
        <f t="shared" si="1"/>
        <v>0.16318544321220296</v>
      </c>
      <c r="O52">
        <f t="shared" si="2"/>
        <v>1.9198287436729761E-2</v>
      </c>
      <c r="P52">
        <f t="shared" si="3"/>
        <v>0.13438801205710832</v>
      </c>
      <c r="Q52">
        <f t="shared" si="4"/>
        <v>2.8797431155094644E-2</v>
      </c>
      <c r="R52">
        <f t="shared" si="5"/>
        <v>0</v>
      </c>
      <c r="S52">
        <f t="shared" si="6"/>
        <v>0</v>
      </c>
    </row>
    <row r="53" spans="1:19" x14ac:dyDescent="0.2">
      <c r="A53" t="s">
        <v>36</v>
      </c>
      <c r="B53">
        <v>2.7400000000000001E-2</v>
      </c>
      <c r="C53" t="s">
        <v>37</v>
      </c>
      <c r="D53" t="s">
        <v>233</v>
      </c>
      <c r="E53">
        <v>28</v>
      </c>
      <c r="F53">
        <v>43</v>
      </c>
      <c r="G53">
        <v>5</v>
      </c>
      <c r="H53">
        <v>23</v>
      </c>
      <c r="I53">
        <v>2</v>
      </c>
      <c r="J53">
        <v>0</v>
      </c>
      <c r="K53">
        <v>0</v>
      </c>
      <c r="M53">
        <f t="shared" si="0"/>
        <v>0.76719999999999999</v>
      </c>
      <c r="N53">
        <f t="shared" si="1"/>
        <v>1.1782000000000001</v>
      </c>
      <c r="O53">
        <f t="shared" si="2"/>
        <v>0.13700000000000001</v>
      </c>
      <c r="P53">
        <f t="shared" si="3"/>
        <v>0.63019999999999998</v>
      </c>
      <c r="Q53">
        <f t="shared" si="4"/>
        <v>5.4800000000000001E-2</v>
      </c>
      <c r="R53">
        <f t="shared" si="5"/>
        <v>0</v>
      </c>
      <c r="S53">
        <f t="shared" si="6"/>
        <v>0</v>
      </c>
    </row>
    <row r="54" spans="1:19" x14ac:dyDescent="0.2">
      <c r="A54" t="s">
        <v>181</v>
      </c>
      <c r="B54">
        <v>9.06E-2</v>
      </c>
      <c r="C54" t="s">
        <v>235</v>
      </c>
      <c r="D54" t="s">
        <v>234</v>
      </c>
      <c r="E54">
        <v>18</v>
      </c>
      <c r="F54">
        <v>36</v>
      </c>
      <c r="G54">
        <v>0</v>
      </c>
      <c r="H54">
        <v>2</v>
      </c>
      <c r="I54">
        <v>0</v>
      </c>
      <c r="J54">
        <v>0</v>
      </c>
      <c r="K54">
        <v>0</v>
      </c>
      <c r="M54">
        <f t="shared" si="0"/>
        <v>1.6308</v>
      </c>
      <c r="N54">
        <f t="shared" si="1"/>
        <v>3.2616000000000001</v>
      </c>
      <c r="O54">
        <f t="shared" si="2"/>
        <v>0</v>
      </c>
      <c r="P54">
        <f t="shared" si="3"/>
        <v>0.1812</v>
      </c>
      <c r="Q54">
        <f t="shared" si="4"/>
        <v>0</v>
      </c>
      <c r="R54">
        <f t="shared" si="5"/>
        <v>0</v>
      </c>
      <c r="S54">
        <f t="shared" si="6"/>
        <v>0</v>
      </c>
    </row>
    <row r="55" spans="1:19" x14ac:dyDescent="0.2">
      <c r="A55" t="s">
        <v>55</v>
      </c>
      <c r="B55">
        <v>5.8999999999999998E-5</v>
      </c>
      <c r="C55" t="s">
        <v>56</v>
      </c>
      <c r="D55" t="s">
        <v>236</v>
      </c>
      <c r="E55">
        <v>55</v>
      </c>
      <c r="F55">
        <v>92</v>
      </c>
      <c r="G55">
        <v>0</v>
      </c>
      <c r="H55">
        <v>7</v>
      </c>
      <c r="I55">
        <v>2</v>
      </c>
      <c r="J55">
        <v>0</v>
      </c>
      <c r="K55">
        <v>0</v>
      </c>
      <c r="M55">
        <f t="shared" si="0"/>
        <v>3.2450000000000001E-3</v>
      </c>
      <c r="N55">
        <f t="shared" si="1"/>
        <v>5.4279999999999997E-3</v>
      </c>
      <c r="O55">
        <f t="shared" si="2"/>
        <v>0</v>
      </c>
      <c r="P55">
        <f t="shared" si="3"/>
        <v>4.1299999999999996E-4</v>
      </c>
      <c r="Q55">
        <f t="shared" si="4"/>
        <v>1.18E-4</v>
      </c>
      <c r="R55">
        <f t="shared" si="5"/>
        <v>0</v>
      </c>
      <c r="S55">
        <f t="shared" si="6"/>
        <v>0</v>
      </c>
    </row>
    <row r="56" spans="1:19" x14ac:dyDescent="0.2">
      <c r="A56" t="s">
        <v>26</v>
      </c>
      <c r="B56">
        <v>6.0000000000000002E-5</v>
      </c>
      <c r="C56" t="s">
        <v>27</v>
      </c>
      <c r="D56" t="s">
        <v>237</v>
      </c>
      <c r="E56">
        <v>20</v>
      </c>
      <c r="F56">
        <v>28</v>
      </c>
      <c r="G56">
        <v>7</v>
      </c>
      <c r="H56">
        <v>9</v>
      </c>
      <c r="I56">
        <v>1</v>
      </c>
      <c r="J56">
        <v>1</v>
      </c>
      <c r="K56">
        <v>0</v>
      </c>
      <c r="M56">
        <f t="shared" si="0"/>
        <v>1.2000000000000001E-3</v>
      </c>
      <c r="N56">
        <f t="shared" si="1"/>
        <v>1.6800000000000001E-3</v>
      </c>
      <c r="O56">
        <f t="shared" si="2"/>
        <v>4.2000000000000002E-4</v>
      </c>
      <c r="P56">
        <f t="shared" si="3"/>
        <v>5.4000000000000001E-4</v>
      </c>
      <c r="Q56">
        <f t="shared" si="4"/>
        <v>6.0000000000000002E-5</v>
      </c>
      <c r="R56">
        <f t="shared" si="5"/>
        <v>6.0000000000000002E-5</v>
      </c>
      <c r="S56">
        <f t="shared" si="6"/>
        <v>0</v>
      </c>
    </row>
    <row r="57" spans="1:19" x14ac:dyDescent="0.2">
      <c r="A57" t="s">
        <v>49</v>
      </c>
      <c r="B57">
        <v>1.10633701848039E-3</v>
      </c>
      <c r="C57" s="16" t="s">
        <v>50</v>
      </c>
      <c r="D57" t="s">
        <v>238</v>
      </c>
      <c r="E57">
        <v>13</v>
      </c>
      <c r="F57">
        <v>18</v>
      </c>
      <c r="G57">
        <v>0</v>
      </c>
      <c r="H57">
        <v>17</v>
      </c>
      <c r="I57">
        <v>2</v>
      </c>
      <c r="J57">
        <v>0</v>
      </c>
      <c r="K57">
        <v>0</v>
      </c>
      <c r="M57">
        <f t="shared" si="0"/>
        <v>1.438238124024507E-2</v>
      </c>
      <c r="N57">
        <f t="shared" si="1"/>
        <v>1.9914066332647019E-2</v>
      </c>
      <c r="O57">
        <f t="shared" si="2"/>
        <v>0</v>
      </c>
      <c r="P57">
        <f t="shared" si="3"/>
        <v>1.8807729314166629E-2</v>
      </c>
      <c r="Q57">
        <f t="shared" si="4"/>
        <v>2.2126740369607799E-3</v>
      </c>
      <c r="R57">
        <f t="shared" si="5"/>
        <v>0</v>
      </c>
      <c r="S57">
        <f t="shared" si="6"/>
        <v>0</v>
      </c>
    </row>
    <row r="58" spans="1:19" x14ac:dyDescent="0.2">
      <c r="A58" t="s">
        <v>43</v>
      </c>
      <c r="B58">
        <v>6.9999999999999994E-5</v>
      </c>
      <c r="C58" t="s">
        <v>44</v>
      </c>
      <c r="D58" t="s">
        <v>239</v>
      </c>
      <c r="E58">
        <v>40</v>
      </c>
      <c r="F58">
        <v>56</v>
      </c>
      <c r="G58">
        <v>0</v>
      </c>
      <c r="H58">
        <v>2</v>
      </c>
      <c r="I58">
        <v>0</v>
      </c>
      <c r="J58">
        <v>0</v>
      </c>
      <c r="K58">
        <v>0</v>
      </c>
      <c r="M58">
        <f t="shared" si="0"/>
        <v>2.7999999999999995E-3</v>
      </c>
      <c r="N58">
        <f t="shared" si="1"/>
        <v>3.9199999999999999E-3</v>
      </c>
      <c r="O58">
        <f t="shared" si="2"/>
        <v>0</v>
      </c>
      <c r="P58">
        <f t="shared" si="3"/>
        <v>1.3999999999999999E-4</v>
      </c>
      <c r="Q58">
        <f t="shared" si="4"/>
        <v>0</v>
      </c>
      <c r="R58">
        <f t="shared" si="5"/>
        <v>0</v>
      </c>
      <c r="S58">
        <f t="shared" si="6"/>
        <v>0</v>
      </c>
    </row>
    <row r="59" spans="1:19" x14ac:dyDescent="0.2">
      <c r="A59" t="s">
        <v>179</v>
      </c>
      <c r="B59">
        <v>4.9599999999999998E-2</v>
      </c>
      <c r="C59" t="s">
        <v>241</v>
      </c>
      <c r="D59" t="s">
        <v>240</v>
      </c>
      <c r="E59">
        <v>14</v>
      </c>
      <c r="F59">
        <v>28</v>
      </c>
      <c r="G59">
        <v>0</v>
      </c>
      <c r="H59">
        <v>2</v>
      </c>
      <c r="I59">
        <v>0</v>
      </c>
      <c r="J59">
        <v>0</v>
      </c>
      <c r="K59">
        <v>0</v>
      </c>
      <c r="M59">
        <f t="shared" si="0"/>
        <v>0.69440000000000002</v>
      </c>
      <c r="N59">
        <f t="shared" si="1"/>
        <v>1.3888</v>
      </c>
      <c r="O59">
        <f t="shared" si="2"/>
        <v>0</v>
      </c>
      <c r="P59">
        <f t="shared" si="3"/>
        <v>9.9199999999999997E-2</v>
      </c>
      <c r="Q59">
        <f t="shared" si="4"/>
        <v>0</v>
      </c>
      <c r="R59">
        <f t="shared" si="5"/>
        <v>0</v>
      </c>
      <c r="S59">
        <f t="shared" si="6"/>
        <v>0</v>
      </c>
    </row>
    <row r="60" spans="1:19" x14ac:dyDescent="0.2">
      <c r="A60" t="s">
        <v>15</v>
      </c>
      <c r="B60">
        <v>6.0000000000000002E-5</v>
      </c>
      <c r="C60" t="s">
        <v>16</v>
      </c>
      <c r="D60" t="s">
        <v>242</v>
      </c>
      <c r="E60">
        <v>59</v>
      </c>
      <c r="F60">
        <v>90</v>
      </c>
      <c r="G60">
        <v>0</v>
      </c>
      <c r="H60">
        <v>4</v>
      </c>
      <c r="I60">
        <v>0</v>
      </c>
      <c r="J60">
        <v>0</v>
      </c>
      <c r="K60">
        <v>0</v>
      </c>
      <c r="M60">
        <f t="shared" si="0"/>
        <v>3.5400000000000002E-3</v>
      </c>
      <c r="N60">
        <f t="shared" si="1"/>
        <v>5.4000000000000003E-3</v>
      </c>
      <c r="O60">
        <f t="shared" si="2"/>
        <v>0</v>
      </c>
      <c r="P60">
        <f t="shared" si="3"/>
        <v>2.4000000000000001E-4</v>
      </c>
      <c r="Q60">
        <f t="shared" si="4"/>
        <v>0</v>
      </c>
      <c r="R60">
        <f t="shared" si="5"/>
        <v>0</v>
      </c>
      <c r="S60">
        <f t="shared" si="6"/>
        <v>0</v>
      </c>
    </row>
    <row r="61" spans="1:19" x14ac:dyDescent="0.2">
      <c r="A61" t="s">
        <v>33</v>
      </c>
      <c r="B61">
        <v>6.0000000000000002E-5</v>
      </c>
      <c r="C61" t="s">
        <v>34</v>
      </c>
      <c r="D61" t="s">
        <v>244</v>
      </c>
      <c r="E61">
        <v>49</v>
      </c>
      <c r="F61">
        <v>58</v>
      </c>
      <c r="G61">
        <v>4</v>
      </c>
      <c r="H61">
        <v>5</v>
      </c>
      <c r="I61">
        <v>0</v>
      </c>
      <c r="J61">
        <v>0</v>
      </c>
      <c r="K61">
        <v>1</v>
      </c>
      <c r="M61">
        <f t="shared" si="0"/>
        <v>2.9399999999999999E-3</v>
      </c>
      <c r="N61">
        <f t="shared" si="1"/>
        <v>3.48E-3</v>
      </c>
      <c r="O61">
        <f t="shared" si="2"/>
        <v>2.4000000000000001E-4</v>
      </c>
      <c r="P61">
        <f t="shared" si="3"/>
        <v>3.0000000000000003E-4</v>
      </c>
      <c r="Q61">
        <f t="shared" si="4"/>
        <v>0</v>
      </c>
      <c r="R61">
        <f t="shared" si="5"/>
        <v>0</v>
      </c>
      <c r="S61">
        <f t="shared" si="6"/>
        <v>6.0000000000000002E-5</v>
      </c>
    </row>
    <row r="62" spans="1:19" x14ac:dyDescent="0.2">
      <c r="A62" t="s">
        <v>182</v>
      </c>
      <c r="B62">
        <v>8.3400000000000002E-3</v>
      </c>
      <c r="C62" t="s">
        <v>272</v>
      </c>
      <c r="D62" t="s">
        <v>245</v>
      </c>
      <c r="E62">
        <v>43</v>
      </c>
      <c r="F62">
        <v>86</v>
      </c>
      <c r="G62">
        <v>1</v>
      </c>
      <c r="H62">
        <v>13</v>
      </c>
      <c r="I62">
        <v>0</v>
      </c>
      <c r="J62">
        <v>0</v>
      </c>
      <c r="K62">
        <v>0</v>
      </c>
      <c r="M62">
        <f t="shared" si="0"/>
        <v>0.35861999999999999</v>
      </c>
      <c r="N62">
        <f t="shared" si="1"/>
        <v>0.71723999999999999</v>
      </c>
      <c r="O62">
        <f t="shared" si="2"/>
        <v>8.3400000000000002E-3</v>
      </c>
      <c r="P62">
        <f t="shared" si="3"/>
        <v>0.10842</v>
      </c>
      <c r="Q62">
        <f t="shared" si="4"/>
        <v>0</v>
      </c>
      <c r="R62">
        <f t="shared" si="5"/>
        <v>0</v>
      </c>
      <c r="S62">
        <f t="shared" si="6"/>
        <v>0</v>
      </c>
    </row>
    <row r="63" spans="1:19" x14ac:dyDescent="0.2">
      <c r="E63" t="s">
        <v>174</v>
      </c>
      <c r="F63" t="s">
        <v>175</v>
      </c>
      <c r="G63" t="s">
        <v>176</v>
      </c>
      <c r="H63" t="s">
        <v>177</v>
      </c>
      <c r="I63" t="s">
        <v>178</v>
      </c>
      <c r="J63" t="s">
        <v>211</v>
      </c>
      <c r="K63" t="s">
        <v>243</v>
      </c>
    </row>
    <row r="64" spans="1:19" x14ac:dyDescent="0.2">
      <c r="D64" t="s">
        <v>248</v>
      </c>
      <c r="E64">
        <f t="shared" ref="E64:K64" si="12">M64</f>
        <v>34.584895261326992</v>
      </c>
      <c r="F64">
        <f t="shared" si="12"/>
        <v>70.374694442038816</v>
      </c>
      <c r="G64">
        <f t="shared" si="12"/>
        <v>9.29190466699505</v>
      </c>
      <c r="H64">
        <f t="shared" si="12"/>
        <v>21.41163103296639</v>
      </c>
      <c r="I64">
        <f t="shared" si="12"/>
        <v>1.5060805046971202</v>
      </c>
      <c r="J64">
        <f t="shared" si="12"/>
        <v>0.22175127999876199</v>
      </c>
      <c r="K64">
        <f t="shared" si="12"/>
        <v>6.0000000000000002E-5</v>
      </c>
      <c r="M64">
        <f>SUM(M3:M62)</f>
        <v>34.584895261326992</v>
      </c>
      <c r="N64">
        <f t="shared" ref="N64:S64" si="13">SUM(N3:N62)</f>
        <v>70.374694442038816</v>
      </c>
      <c r="O64">
        <f t="shared" si="13"/>
        <v>9.29190466699505</v>
      </c>
      <c r="P64">
        <f t="shared" si="13"/>
        <v>21.41163103296639</v>
      </c>
      <c r="Q64">
        <f t="shared" si="13"/>
        <v>1.5060805046971202</v>
      </c>
      <c r="R64">
        <f t="shared" si="13"/>
        <v>0.22175127999876199</v>
      </c>
      <c r="S64">
        <f t="shared" si="13"/>
        <v>6.0000000000000002E-5</v>
      </c>
    </row>
    <row r="65" spans="4:13" x14ac:dyDescent="0.2">
      <c r="D65" t="s">
        <v>249</v>
      </c>
      <c r="E65">
        <f>(E64/1000) * 12.01</f>
        <v>0.41536459208853715</v>
      </c>
      <c r="F65">
        <f>(F64/1000) * 1.01</f>
        <v>7.1078441386459204E-2</v>
      </c>
      <c r="G65">
        <f>(G64/1000)*14.01</f>
        <v>0.13017958438460064</v>
      </c>
      <c r="H65">
        <f>(H64/1000)*16</f>
        <v>0.34258609652746225</v>
      </c>
      <c r="I65">
        <f>(I64/1000)*30.97</f>
        <v>4.6643313230469809E-2</v>
      </c>
      <c r="J65">
        <f>(J64/1000)*32.07</f>
        <v>7.111563549560297E-3</v>
      </c>
      <c r="K65">
        <f>(K64/1000)*55.85</f>
        <v>3.3510000000000006E-6</v>
      </c>
    </row>
    <row r="66" spans="4:13" x14ac:dyDescent="0.2">
      <c r="D66" t="s">
        <v>250</v>
      </c>
      <c r="E66">
        <f>SUM(E65:K65)</f>
        <v>1.0129669421670893</v>
      </c>
      <c r="M66" t="s">
        <v>273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2021-12-01T13:50:19Z</dcterms:created>
  <dcterms:modified xsi:type="dcterms:W3CDTF">2021-12-06T15:47:32Z</dcterms:modified>
</cp:coreProperties>
</file>