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_hub\gm_consult_iot\MCC400\_ASSETS\"/>
    </mc:Choice>
  </mc:AlternateContent>
  <xr:revisionPtr revIDLastSave="0" documentId="13_ncr:1_{4A79B51F-89EF-4A1F-8C11-DE67648400F1}" xr6:coauthVersionLast="47" xr6:coauthVersionMax="47" xr10:uidLastSave="{00000000-0000-0000-0000-000000000000}"/>
  <bookViews>
    <workbookView xWindow="28680" yWindow="-1965" windowWidth="23310" windowHeight="13740" activeTab="2" xr2:uid="{01E041AD-AF93-4237-8EF7-E7C7221877F7}"/>
  </bookViews>
  <sheets>
    <sheet name="OptoIsolator" sheetId="1" r:id="rId1"/>
    <sheet name="ADC" sheetId="3" r:id="rId2"/>
    <sheet name="Debounce" sheetId="9" r:id="rId3"/>
    <sheet name="Regulator" sheetId="12" r:id="rId4"/>
    <sheet name="Lookup" sheetId="13" r:id="rId5"/>
  </sheets>
  <definedNames>
    <definedName name="Resistors_1percent">Lookup!$A$1:$A$170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8" i="3" s="1"/>
  <c r="D5" i="3"/>
  <c r="D6" i="3"/>
  <c r="D8" i="3" s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E5" i="12"/>
  <c r="F5" i="3"/>
  <c r="K47" i="1"/>
  <c r="K46" i="1"/>
  <c r="K45" i="1"/>
  <c r="K44" i="1"/>
  <c r="K43" i="1"/>
  <c r="K42" i="1"/>
  <c r="K41" i="1"/>
  <c r="K40" i="1"/>
  <c r="K39" i="1"/>
  <c r="B22" i="12"/>
  <c r="B17" i="12"/>
  <c r="C8" i="12"/>
  <c r="D8" i="12"/>
  <c r="F8" i="12"/>
  <c r="G8" i="12"/>
  <c r="H8" i="12"/>
  <c r="B8" i="12"/>
  <c r="A114" i="13"/>
  <c r="A138" i="13" s="1"/>
  <c r="A162" i="13" s="1"/>
  <c r="A94" i="13"/>
  <c r="A118" i="13" s="1"/>
  <c r="A142" i="13" s="1"/>
  <c r="A166" i="13" s="1"/>
  <c r="A90" i="13"/>
  <c r="A75" i="13"/>
  <c r="A99" i="13" s="1"/>
  <c r="A123" i="13" s="1"/>
  <c r="A147" i="13" s="1"/>
  <c r="A74" i="13"/>
  <c r="A98" i="13" s="1"/>
  <c r="A122" i="13" s="1"/>
  <c r="A146" i="13" s="1"/>
  <c r="A170" i="13" s="1"/>
  <c r="A73" i="13"/>
  <c r="A97" i="13" s="1"/>
  <c r="A121" i="13" s="1"/>
  <c r="A145" i="13" s="1"/>
  <c r="A169" i="13" s="1"/>
  <c r="A72" i="13"/>
  <c r="A96" i="13" s="1"/>
  <c r="A120" i="13" s="1"/>
  <c r="A144" i="13" s="1"/>
  <c r="A168" i="13" s="1"/>
  <c r="A70" i="13"/>
  <c r="A66" i="13"/>
  <c r="A65" i="13"/>
  <c r="A89" i="13" s="1"/>
  <c r="A113" i="13" s="1"/>
  <c r="A137" i="13" s="1"/>
  <c r="A161" i="13" s="1"/>
  <c r="A64" i="13"/>
  <c r="A88" i="13" s="1"/>
  <c r="A112" i="13" s="1"/>
  <c r="A136" i="13" s="1"/>
  <c r="A160" i="13" s="1"/>
  <c r="A55" i="13"/>
  <c r="A79" i="13" s="1"/>
  <c r="A103" i="13" s="1"/>
  <c r="A127" i="13" s="1"/>
  <c r="A151" i="13" s="1"/>
  <c r="A54" i="13"/>
  <c r="A78" i="13" s="1"/>
  <c r="A102" i="13" s="1"/>
  <c r="A126" i="13" s="1"/>
  <c r="A150" i="13" s="1"/>
  <c r="A53" i="13"/>
  <c r="A77" i="13" s="1"/>
  <c r="A101" i="13" s="1"/>
  <c r="A125" i="13" s="1"/>
  <c r="A149" i="13" s="1"/>
  <c r="A52" i="13"/>
  <c r="A76" i="13" s="1"/>
  <c r="A100" i="13" s="1"/>
  <c r="A124" i="13" s="1"/>
  <c r="A148" i="13" s="1"/>
  <c r="A51" i="13"/>
  <c r="A50" i="13"/>
  <c r="A49" i="13"/>
  <c r="A48" i="13"/>
  <c r="A47" i="13"/>
  <c r="A71" i="13" s="1"/>
  <c r="A95" i="13" s="1"/>
  <c r="A119" i="13" s="1"/>
  <c r="A143" i="13" s="1"/>
  <c r="A167" i="13" s="1"/>
  <c r="A46" i="13"/>
  <c r="A45" i="13"/>
  <c r="A69" i="13" s="1"/>
  <c r="A93" i="13" s="1"/>
  <c r="A117" i="13" s="1"/>
  <c r="A141" i="13" s="1"/>
  <c r="A165" i="13" s="1"/>
  <c r="A44" i="13"/>
  <c r="A68" i="13" s="1"/>
  <c r="A92" i="13" s="1"/>
  <c r="A116" i="13" s="1"/>
  <c r="A140" i="13" s="1"/>
  <c r="A164" i="13" s="1"/>
  <c r="A43" i="13"/>
  <c r="A67" i="13" s="1"/>
  <c r="A91" i="13" s="1"/>
  <c r="A115" i="13" s="1"/>
  <c r="A139" i="13" s="1"/>
  <c r="A163" i="13" s="1"/>
  <c r="A42" i="13"/>
  <c r="A41" i="13"/>
  <c r="A40" i="13"/>
  <c r="A39" i="13"/>
  <c r="A63" i="13" s="1"/>
  <c r="A87" i="13" s="1"/>
  <c r="A111" i="13" s="1"/>
  <c r="A135" i="13" s="1"/>
  <c r="A159" i="13" s="1"/>
  <c r="A38" i="13"/>
  <c r="A62" i="13" s="1"/>
  <c r="A86" i="13" s="1"/>
  <c r="A110" i="13" s="1"/>
  <c r="A134" i="13" s="1"/>
  <c r="A158" i="13" s="1"/>
  <c r="A37" i="13"/>
  <c r="A61" i="13" s="1"/>
  <c r="A85" i="13" s="1"/>
  <c r="A109" i="13" s="1"/>
  <c r="A133" i="13" s="1"/>
  <c r="A157" i="13" s="1"/>
  <c r="A36" i="13"/>
  <c r="A60" i="13" s="1"/>
  <c r="A84" i="13" s="1"/>
  <c r="A108" i="13" s="1"/>
  <c r="A132" i="13" s="1"/>
  <c r="A156" i="13" s="1"/>
  <c r="A35" i="13"/>
  <c r="A59" i="13" s="1"/>
  <c r="A83" i="13" s="1"/>
  <c r="A107" i="13" s="1"/>
  <c r="A131" i="13" s="1"/>
  <c r="A155" i="13" s="1"/>
  <c r="A34" i="13"/>
  <c r="A58" i="13" s="1"/>
  <c r="A82" i="13" s="1"/>
  <c r="A106" i="13" s="1"/>
  <c r="A130" i="13" s="1"/>
  <c r="A154" i="13" s="1"/>
  <c r="A33" i="13"/>
  <c r="A57" i="13" s="1"/>
  <c r="A81" i="13" s="1"/>
  <c r="A105" i="13" s="1"/>
  <c r="A129" i="13" s="1"/>
  <c r="A153" i="13" s="1"/>
  <c r="A32" i="13"/>
  <c r="A56" i="13" s="1"/>
  <c r="A80" i="13" s="1"/>
  <c r="A104" i="13" s="1"/>
  <c r="A128" i="13" s="1"/>
  <c r="A152" i="13" s="1"/>
  <c r="A31" i="13"/>
  <c r="A30" i="13"/>
  <c r="A29" i="13"/>
  <c r="A28" i="13"/>
  <c r="A27" i="13"/>
  <c r="H5" i="12"/>
  <c r="H9" i="12" s="1"/>
  <c r="G5" i="12"/>
  <c r="G9" i="12" s="1"/>
  <c r="F5" i="12"/>
  <c r="F9" i="12" s="1"/>
  <c r="D5" i="12"/>
  <c r="D9" i="12" s="1"/>
  <c r="D10" i="12" s="1"/>
  <c r="C5" i="12"/>
  <c r="C9" i="12" s="1"/>
  <c r="B5" i="12"/>
  <c r="B9" i="12" s="1"/>
  <c r="B9" i="9"/>
  <c r="E1" i="9"/>
  <c r="B6" i="9" s="1"/>
  <c r="E2" i="9"/>
  <c r="E10" i="12" l="1"/>
  <c r="H10" i="12"/>
  <c r="D7" i="3"/>
  <c r="F7" i="3"/>
  <c r="C10" i="12"/>
  <c r="G10" i="12"/>
  <c r="F10" i="12"/>
  <c r="B10" i="12"/>
  <c r="B10" i="9"/>
  <c r="B11" i="9" s="1"/>
  <c r="H6" i="3"/>
  <c r="H8" i="3" s="1"/>
  <c r="G6" i="3"/>
  <c r="G8" i="3" s="1"/>
  <c r="E6" i="3"/>
  <c r="E8" i="3" s="1"/>
  <c r="B6" i="3"/>
  <c r="B8" i="3" s="1"/>
  <c r="C8" i="3"/>
  <c r="C6" i="3"/>
  <c r="C7" i="3" s="1"/>
  <c r="H5" i="3"/>
  <c r="G5" i="3"/>
  <c r="E5" i="3"/>
  <c r="C5" i="3"/>
  <c r="B5" i="3"/>
  <c r="B14" i="1"/>
  <c r="B15" i="1" s="1"/>
  <c r="K38" i="1"/>
  <c r="I35" i="1"/>
  <c r="I60" i="1" s="1"/>
  <c r="H35" i="1"/>
  <c r="H60" i="1" s="1"/>
  <c r="G35" i="1"/>
  <c r="G60" i="1" s="1"/>
  <c r="F35" i="1"/>
  <c r="E35" i="1"/>
  <c r="D35" i="1"/>
  <c r="C35" i="1"/>
  <c r="C60" i="1" s="1"/>
  <c r="B35" i="1"/>
  <c r="B60" i="1" s="1"/>
  <c r="I34" i="1"/>
  <c r="I59" i="1" s="1"/>
  <c r="H34" i="1"/>
  <c r="H59" i="1" s="1"/>
  <c r="G34" i="1"/>
  <c r="F34" i="1"/>
  <c r="E34" i="1"/>
  <c r="D34" i="1"/>
  <c r="C34" i="1"/>
  <c r="B34" i="1"/>
  <c r="B59" i="1" s="1"/>
  <c r="I33" i="1"/>
  <c r="H33" i="1"/>
  <c r="G33" i="1"/>
  <c r="F33" i="1"/>
  <c r="F58" i="1" s="1"/>
  <c r="E33" i="1"/>
  <c r="E58" i="1" s="1"/>
  <c r="D33" i="1"/>
  <c r="D58" i="1" s="1"/>
  <c r="C33" i="1"/>
  <c r="C58" i="1" s="1"/>
  <c r="B33" i="1"/>
  <c r="B58" i="1" s="1"/>
  <c r="I32" i="1"/>
  <c r="I57" i="1" s="1"/>
  <c r="H32" i="1"/>
  <c r="H57" i="1" s="1"/>
  <c r="G32" i="1"/>
  <c r="G57" i="1" s="1"/>
  <c r="F32" i="1"/>
  <c r="F57" i="1" s="1"/>
  <c r="E32" i="1"/>
  <c r="E57" i="1" s="1"/>
  <c r="D32" i="1"/>
  <c r="D57" i="1" s="1"/>
  <c r="C32" i="1"/>
  <c r="C57" i="1" s="1"/>
  <c r="B32" i="1"/>
  <c r="I31" i="1"/>
  <c r="H31" i="1"/>
  <c r="G31" i="1"/>
  <c r="F31" i="1"/>
  <c r="E31" i="1"/>
  <c r="D31" i="1"/>
  <c r="C31" i="1"/>
  <c r="B31" i="1"/>
  <c r="I30" i="1"/>
  <c r="I55" i="1" s="1"/>
  <c r="H30" i="1"/>
  <c r="H55" i="1" s="1"/>
  <c r="G30" i="1"/>
  <c r="G55" i="1" s="1"/>
  <c r="F30" i="1"/>
  <c r="F55" i="1" s="1"/>
  <c r="E30" i="1"/>
  <c r="E55" i="1" s="1"/>
  <c r="D30" i="1"/>
  <c r="D55" i="1" s="1"/>
  <c r="C30" i="1"/>
  <c r="C55" i="1" s="1"/>
  <c r="B30" i="1"/>
  <c r="B55" i="1" s="1"/>
  <c r="I29" i="1"/>
  <c r="I54" i="1" s="1"/>
  <c r="H29" i="1"/>
  <c r="H54" i="1" s="1"/>
  <c r="G29" i="1"/>
  <c r="F29" i="1"/>
  <c r="E29" i="1"/>
  <c r="D29" i="1"/>
  <c r="C29" i="1"/>
  <c r="B29" i="1"/>
  <c r="I28" i="1"/>
  <c r="H28" i="1"/>
  <c r="G28" i="1"/>
  <c r="G53" i="1" s="1"/>
  <c r="F28" i="1"/>
  <c r="E28" i="1"/>
  <c r="E53" i="1" s="1"/>
  <c r="D28" i="1"/>
  <c r="D53" i="1" s="1"/>
  <c r="C28" i="1"/>
  <c r="B28" i="1"/>
  <c r="B53" i="1" s="1"/>
  <c r="I27" i="1"/>
  <c r="I52" i="1" s="1"/>
  <c r="H27" i="1"/>
  <c r="H52" i="1" s="1"/>
  <c r="G27" i="1"/>
  <c r="G52" i="1" s="1"/>
  <c r="F27" i="1"/>
  <c r="F52" i="1" s="1"/>
  <c r="E27" i="1"/>
  <c r="E52" i="1" s="1"/>
  <c r="D27" i="1"/>
  <c r="D52" i="1" s="1"/>
  <c r="C27" i="1"/>
  <c r="B27" i="1"/>
  <c r="I26" i="1"/>
  <c r="H26" i="1"/>
  <c r="G26" i="1"/>
  <c r="F26" i="1"/>
  <c r="E26" i="1"/>
  <c r="D26" i="1"/>
  <c r="C26" i="1"/>
  <c r="C51" i="1" s="1"/>
  <c r="B26" i="1"/>
  <c r="B51" i="1" s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C53" i="1"/>
  <c r="K60" i="1"/>
  <c r="K59" i="1"/>
  <c r="K58" i="1"/>
  <c r="K57" i="1"/>
  <c r="K56" i="1"/>
  <c r="K55" i="1"/>
  <c r="K54" i="1"/>
  <c r="K53" i="1"/>
  <c r="K52" i="1"/>
  <c r="K51" i="1"/>
  <c r="K35" i="1"/>
  <c r="K34" i="1"/>
  <c r="K33" i="1"/>
  <c r="K32" i="1"/>
  <c r="K31" i="1"/>
  <c r="K30" i="1"/>
  <c r="K29" i="1"/>
  <c r="K28" i="1"/>
  <c r="K27" i="1"/>
  <c r="K26" i="1"/>
  <c r="D60" i="1"/>
  <c r="E60" i="1"/>
  <c r="F60" i="1"/>
  <c r="C59" i="1"/>
  <c r="D59" i="1"/>
  <c r="E59" i="1"/>
  <c r="F59" i="1"/>
  <c r="G59" i="1"/>
  <c r="I58" i="1"/>
  <c r="H58" i="1"/>
  <c r="G58" i="1"/>
  <c r="I56" i="1"/>
  <c r="H56" i="1"/>
  <c r="G56" i="1"/>
  <c r="G54" i="1"/>
  <c r="I53" i="1"/>
  <c r="H53" i="1"/>
  <c r="I51" i="1"/>
  <c r="H51" i="1"/>
  <c r="G51" i="1"/>
  <c r="B57" i="1"/>
  <c r="F56" i="1"/>
  <c r="E56" i="1"/>
  <c r="D56" i="1"/>
  <c r="C56" i="1"/>
  <c r="B56" i="1"/>
  <c r="F54" i="1"/>
  <c r="E54" i="1"/>
  <c r="D54" i="1"/>
  <c r="C54" i="1"/>
  <c r="B54" i="1"/>
  <c r="F53" i="1"/>
  <c r="C52" i="1"/>
  <c r="B52" i="1"/>
  <c r="F51" i="1"/>
  <c r="E51" i="1"/>
  <c r="D51" i="1"/>
  <c r="E7" i="3" l="1"/>
  <c r="B7" i="3"/>
  <c r="B16" i="1"/>
  <c r="G7" i="3"/>
  <c r="H7" i="3"/>
</calcChain>
</file>

<file path=xl/sharedStrings.xml><?xml version="1.0" encoding="utf-8"?>
<sst xmlns="http://schemas.openxmlformats.org/spreadsheetml/2006/main" count="166" uniqueCount="87">
  <si>
    <t>DESIGN CALCULATIONS</t>
  </si>
  <si>
    <t>Vcc</t>
  </si>
  <si>
    <t>Transistor:</t>
  </si>
  <si>
    <t>mA</t>
  </si>
  <si>
    <t>Ohm</t>
  </si>
  <si>
    <t>Volts</t>
  </si>
  <si>
    <t>Value</t>
  </si>
  <si>
    <t>Unit</t>
  </si>
  <si>
    <t>Notes</t>
  </si>
  <si>
    <t>Ic(max)</t>
  </si>
  <si>
    <t>Maximum collector current when driven into saturation</t>
  </si>
  <si>
    <t>LED:</t>
  </si>
  <si>
    <t>Rc</t>
  </si>
  <si>
    <t>A 4k7 resistor between collector and 3v3 MCU supply rail (R1, R2, R3 &amp; R4)</t>
  </si>
  <si>
    <t>3v3 MCU supply rail</t>
  </si>
  <si>
    <t>Vin</t>
  </si>
  <si>
    <t>If</t>
  </si>
  <si>
    <t>If(max)</t>
  </si>
  <si>
    <t>CTR(2.5)</t>
  </si>
  <si>
    <t>CTR(12)</t>
  </si>
  <si>
    <t>CTR(20)</t>
  </si>
  <si>
    <t>Minimum current transfer ratio at 2.5mA LED forward current (from datasheet)</t>
  </si>
  <si>
    <t>Minimum current transfer ratio at 12mA LED forward current (from datasheet)</t>
  </si>
  <si>
    <t>Minimum current transfer ratio at 20mA LED forward current (from datasheet)</t>
  </si>
  <si>
    <t>Absolute maximum LED forward current</t>
  </si>
  <si>
    <t>Absolute maximum transistor colector current</t>
  </si>
  <si>
    <t>Input Voltage (Vin)</t>
  </si>
  <si>
    <t>Forward current at Ra values and Vin</t>
  </si>
  <si>
    <t>If(min)</t>
  </si>
  <si>
    <t>Minimum LED forward current to drive transistor into saturation</t>
  </si>
  <si>
    <t>Power dissipation at Ra values and Vin</t>
  </si>
  <si>
    <t>mW</t>
  </si>
  <si>
    <t>W</t>
  </si>
  <si>
    <t>Input resistor rating</t>
  </si>
  <si>
    <t>Rating of input resistors</t>
  </si>
  <si>
    <t>P(rc)</t>
  </si>
  <si>
    <t>Power dissipation of pull-up resistor</t>
  </si>
  <si>
    <t>Vf</t>
  </si>
  <si>
    <t>Forward voltage drop of the LED</t>
  </si>
  <si>
    <t>Collector current at Ra values and Vin</t>
  </si>
  <si>
    <t>percent</t>
  </si>
  <si>
    <t>Minimum If</t>
  </si>
  <si>
    <t>Rt</t>
  </si>
  <si>
    <t>Vout</t>
  </si>
  <si>
    <t>Rin</t>
  </si>
  <si>
    <t>Rg</t>
  </si>
  <si>
    <t>Vadc</t>
  </si>
  <si>
    <t>Im</t>
  </si>
  <si>
    <t>Pin</t>
  </si>
  <si>
    <t>Pg</t>
  </si>
  <si>
    <t>V</t>
  </si>
  <si>
    <t>kOhm</t>
  </si>
  <si>
    <t>Hz</t>
  </si>
  <si>
    <t>debouncing.pdf (utah.edu)</t>
  </si>
  <si>
    <t>t</t>
  </si>
  <si>
    <t>mS</t>
  </si>
  <si>
    <t>Vth</t>
  </si>
  <si>
    <t>Vfinal</t>
  </si>
  <si>
    <t>C</t>
  </si>
  <si>
    <t>uF</t>
  </si>
  <si>
    <t>Vinitial</t>
  </si>
  <si>
    <t>R1</t>
  </si>
  <si>
    <t>R2</t>
  </si>
  <si>
    <t xml:space="preserve">CHARGE </t>
  </si>
  <si>
    <t>DISCHARGE</t>
  </si>
  <si>
    <t>S</t>
  </si>
  <si>
    <t>F</t>
  </si>
  <si>
    <t>kHz</t>
  </si>
  <si>
    <t>Volt</t>
  </si>
  <si>
    <t>https://www.monolithicpower.com/en/documentview/productdocument/index/version/2/document_type/Datasheet/lang/en/sku/MP2315S/document_id/981/</t>
  </si>
  <si>
    <t>kΩ</t>
  </si>
  <si>
    <t>Solve for R2</t>
  </si>
  <si>
    <t>Solve for Vout</t>
  </si>
  <si>
    <t>Resistors1%</t>
  </si>
  <si>
    <t>1 second stage filter design.pdf (ridleyengineering.com)</t>
  </si>
  <si>
    <t>OUTPUT VOLTAGE</t>
  </si>
  <si>
    <t>L</t>
  </si>
  <si>
    <t>uH</t>
  </si>
  <si>
    <t>Fr</t>
  </si>
  <si>
    <t>Inductor</t>
  </si>
  <si>
    <t>Filter capacitance</t>
  </si>
  <si>
    <t>Resonant frequency</t>
  </si>
  <si>
    <t>PRIMARY RESONANT FREQUENCY</t>
  </si>
  <si>
    <t>SECONDARY RESONANT FREQUENCY</t>
  </si>
  <si>
    <t>Calculated values of anode resistor (Ra) for 2.5mA forward current at Vin</t>
  </si>
  <si>
    <t>Calculated values of anode resistor (Ra) for 12mA forward current at Vin</t>
  </si>
  <si>
    <t>Calculated values of anode resistor (Ra) for 20mA forward current at 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</si>
</sst>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9" fontId="0" fillId="0" borderId="0" xfId="2" applyFont="1"/>
    <xf numFmtId="0" fontId="2" fillId="2" borderId="1" xfId="0" applyFont="1" applyFill="1" applyBorder="1"/>
    <xf numFmtId="0" fontId="2" fillId="0" borderId="1" xfId="0" applyFont="1" applyBorder="1"/>
    <xf numFmtId="43" fontId="0" fillId="0" borderId="0" xfId="0" applyNumberFormat="1"/>
    <xf numFmtId="0" fontId="3" fillId="0" borderId="0" xfId="3"/>
    <xf numFmtId="0" fontId="0" fillId="0" borderId="0" xfId="0" quotePrefix="1"/>
    <xf numFmtId="0" fontId="0" fillId="3" borderId="0" xfId="0" applyFill="1"/>
    <xf numFmtId="165" fontId="0" fillId="3" borderId="0" xfId="1" applyNumberFormat="1" applyFont="1" applyFill="1"/>
    <xf numFmtId="165" fontId="0" fillId="3" borderId="0" xfId="1" applyNumberFormat="1" applyFont="1" applyFill="1" applyBorder="1"/>
    <xf numFmtId="0" fontId="4" fillId="0" borderId="0" xfId="0" applyFont="1"/>
    <xf numFmtId="0" fontId="0" fillId="4" borderId="0" xfId="0" applyFill="1"/>
    <xf numFmtId="43" fontId="2" fillId="4" borderId="0" xfId="1" applyFont="1" applyFill="1"/>
    <xf numFmtId="0" fontId="2" fillId="4" borderId="0" xfId="0" applyFont="1" applyFill="1"/>
    <xf numFmtId="43" fontId="2" fillId="4" borderId="0" xfId="0" applyNumberFormat="1" applyFont="1" applyFill="1"/>
    <xf numFmtId="0" fontId="2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5" borderId="0" xfId="0" applyFill="1"/>
    <xf numFmtId="0" fontId="0" fillId="5" borderId="0" xfId="0" applyFill="1"/>
    <xf numFmtId="165" fontId="0" fillId="4" borderId="0" xfId="1" applyNumberFormat="1" applyFont="1" applyFill="1"/>
    <xf numFmtId="164" fontId="0" fillId="4" borderId="0" xfId="1" applyNumberFormat="1" applyFont="1" applyFill="1"/>
    <xf numFmtId="43" fontId="0" fillId="4" borderId="3" xfId="1" applyFont="1" applyFill="1" applyBorder="1"/>
    <xf numFmtId="43" fontId="0" fillId="4" borderId="4" xfId="1" applyFont="1" applyFill="1" applyBorder="1"/>
    <xf numFmtId="43" fontId="0" fillId="4" borderId="5" xfId="1" applyFont="1" applyFill="1" applyBorder="1"/>
    <xf numFmtId="43" fontId="0" fillId="5" borderId="6" xfId="1" applyFont="1" applyFill="1" applyBorder="1"/>
    <xf numFmtId="43" fontId="0" fillId="5" borderId="1" xfId="1" applyFont="1" applyFill="1" applyBorder="1"/>
    <xf numFmtId="43" fontId="0" fillId="4" borderId="2" xfId="1" applyFont="1" applyFill="1" applyBorder="1"/>
    <xf numFmtId="43" fontId="0" fillId="5" borderId="7" xfId="1" applyFont="1" applyFill="1" applyBorder="1"/>
    <xf numFmtId="0" fontId="0" fillId="5" borderId="6" xfId="0" applyFill="1" applyBorder="1" applyAlignment="1">
      <alignment horizontal="center"/>
    </xf>
    <xf numFmtId="164" fontId="0" fillId="5" borderId="1" xfId="1" applyNumberFormat="1" applyFont="1" applyFill="1" applyBorder="1"/>
    <xf numFmtId="164" fontId="0" fillId="4" borderId="1" xfId="1" applyNumberFormat="1" applyFont="1" applyFill="1" applyBorder="1"/>
    <xf numFmtId="164" fontId="0" fillId="5" borderId="7" xfId="1" applyNumberFormat="1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43" fontId="2" fillId="6" borderId="4" xfId="1" applyFont="1" applyFill="1" applyBorder="1"/>
    <xf numFmtId="0" fontId="0" fillId="6" borderId="4" xfId="0" applyFill="1" applyBorder="1"/>
    <xf numFmtId="43" fontId="2" fillId="6" borderId="5" xfId="0" applyNumberFormat="1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6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95250</xdr:rowOff>
    </xdr:from>
    <xdr:to>
      <xdr:col>10</xdr:col>
      <xdr:colOff>505576</xdr:colOff>
      <xdr:row>49</xdr:row>
      <xdr:rowOff>114781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289C3B-B51B-DD5C-6132-7775EB84C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00750"/>
          <a:ext cx="5382376" cy="3448531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0</xdr:row>
      <xdr:rowOff>66675</xdr:rowOff>
    </xdr:from>
    <xdr:to>
      <xdr:col>22</xdr:col>
      <xdr:colOff>552450</xdr:colOff>
      <xdr:row>29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EE2AAF-7AA7-3242-56C0-A47EEF0C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66675"/>
          <a:ext cx="7505700" cy="551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9</xdr:col>
      <xdr:colOff>543596</xdr:colOff>
      <xdr:row>30</xdr:row>
      <xdr:rowOff>124241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6CF792-06DB-F2E1-C8E9-82DFD2EB4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810796" cy="2981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38100</xdr:rowOff>
    </xdr:from>
    <xdr:to>
      <xdr:col>17</xdr:col>
      <xdr:colOff>514762</xdr:colOff>
      <xdr:row>32</xdr:row>
      <xdr:rowOff>38844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1B3F8F-5ECF-5743-345A-62A867946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419100"/>
          <a:ext cx="2953162" cy="5334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y.eng.utah.edu/~cs5780/debouncing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ridleyengineering.com/images/phocadownload/1%20second%20stage%20filter%20design.pdf" TargetMode="External"/><Relationship Id="rId1" Type="http://schemas.openxmlformats.org/officeDocument/2006/relationships/hyperlink" Target="https://www.monolithicpower.com/en/documentview/productdocument/index/version/2/document_type/Datasheet/lang/en/sku/MP2315S/document_id/98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9FC2-02E9-433D-8A05-756919B18015}">
  <dimension ref="A1:T60"/>
  <sheetViews>
    <sheetView workbookViewId="0">
      <pane xSplit="1" ySplit="19" topLeftCell="B41" activePane="bottomRight" state="frozen"/>
      <selection pane="topRight" activeCell="B1" sqref="B1"/>
      <selection pane="bottomLeft" activeCell="A20" sqref="A20"/>
      <selection pane="bottomRight" activeCell="B38" sqref="B38"/>
    </sheetView>
  </sheetViews>
  <sheetFormatPr defaultRowHeight="15" x14ac:dyDescent="0.25"/>
  <cols>
    <col min="1" max="1" width="20.140625" customWidth="1"/>
    <col min="2" max="10" width="10.7109375" customWidth="1"/>
  </cols>
  <sheetData>
    <row r="1" spans="1:12" x14ac:dyDescent="0.25">
      <c r="A1" s="1" t="s">
        <v>0</v>
      </c>
      <c r="C1" t="s">
        <v>7</v>
      </c>
    </row>
    <row r="2" spans="1:12" x14ac:dyDescent="0.25">
      <c r="A2" t="s">
        <v>18</v>
      </c>
      <c r="B2" s="6">
        <v>1.5</v>
      </c>
      <c r="C2" t="s">
        <v>40</v>
      </c>
      <c r="D2" t="s">
        <v>21</v>
      </c>
    </row>
    <row r="3" spans="1:12" x14ac:dyDescent="0.25">
      <c r="A3" t="s">
        <v>19</v>
      </c>
      <c r="B3" s="6">
        <v>1.8</v>
      </c>
      <c r="C3" t="s">
        <v>40</v>
      </c>
      <c r="D3" t="s">
        <v>22</v>
      </c>
    </row>
    <row r="4" spans="1:12" x14ac:dyDescent="0.25">
      <c r="A4" t="s">
        <v>20</v>
      </c>
      <c r="B4" s="6">
        <v>1.4</v>
      </c>
      <c r="C4" t="s">
        <v>40</v>
      </c>
      <c r="D4" t="s">
        <v>23</v>
      </c>
    </row>
    <row r="5" spans="1:12" x14ac:dyDescent="0.25">
      <c r="A5" t="s">
        <v>17</v>
      </c>
      <c r="B5">
        <v>50</v>
      </c>
      <c r="C5" t="s">
        <v>3</v>
      </c>
      <c r="D5" t="s">
        <v>24</v>
      </c>
    </row>
    <row r="6" spans="1:12" x14ac:dyDescent="0.25">
      <c r="A6" t="s">
        <v>28</v>
      </c>
      <c r="B6">
        <v>5</v>
      </c>
      <c r="C6" t="s">
        <v>3</v>
      </c>
      <c r="D6" t="s">
        <v>29</v>
      </c>
    </row>
    <row r="7" spans="1:12" x14ac:dyDescent="0.25">
      <c r="A7" t="s">
        <v>9</v>
      </c>
      <c r="B7">
        <v>50</v>
      </c>
      <c r="C7" t="s">
        <v>3</v>
      </c>
      <c r="D7" t="s">
        <v>25</v>
      </c>
    </row>
    <row r="8" spans="1:12" x14ac:dyDescent="0.25">
      <c r="A8" t="s">
        <v>33</v>
      </c>
      <c r="B8">
        <v>0.125</v>
      </c>
      <c r="C8" t="s">
        <v>32</v>
      </c>
      <c r="D8" t="s">
        <v>34</v>
      </c>
    </row>
    <row r="9" spans="1:12" x14ac:dyDescent="0.25">
      <c r="A9" t="s">
        <v>37</v>
      </c>
      <c r="B9">
        <v>1.4</v>
      </c>
      <c r="C9" t="s">
        <v>5</v>
      </c>
      <c r="D9" t="s">
        <v>38</v>
      </c>
    </row>
    <row r="11" spans="1:12" x14ac:dyDescent="0.25">
      <c r="A11" s="1" t="s">
        <v>2</v>
      </c>
      <c r="B11" s="1" t="s">
        <v>6</v>
      </c>
      <c r="C11" s="1" t="s">
        <v>7</v>
      </c>
      <c r="D11" s="20" t="s">
        <v>8</v>
      </c>
      <c r="E11" s="20"/>
      <c r="F11" s="20"/>
      <c r="G11" s="20"/>
      <c r="H11" s="20"/>
      <c r="I11" s="20"/>
      <c r="J11" s="20"/>
      <c r="K11" s="20"/>
      <c r="L11" s="20"/>
    </row>
    <row r="12" spans="1:12" x14ac:dyDescent="0.25">
      <c r="A12" t="s">
        <v>1</v>
      </c>
      <c r="B12">
        <v>3.3</v>
      </c>
      <c r="C12" t="s">
        <v>5</v>
      </c>
      <c r="D12" s="21" t="s">
        <v>14</v>
      </c>
      <c r="E12" s="21"/>
      <c r="F12" s="21"/>
      <c r="G12" s="21"/>
      <c r="H12" s="21"/>
      <c r="I12" s="21"/>
      <c r="J12" s="21"/>
      <c r="K12" s="21"/>
      <c r="L12" s="21"/>
    </row>
    <row r="13" spans="1:12" x14ac:dyDescent="0.25">
      <c r="A13" t="s">
        <v>12</v>
      </c>
      <c r="B13">
        <v>4700</v>
      </c>
      <c r="C13" t="s">
        <v>4</v>
      </c>
      <c r="D13" s="21" t="s">
        <v>13</v>
      </c>
      <c r="E13" s="21"/>
      <c r="F13" s="21"/>
      <c r="G13" s="21"/>
      <c r="H13" s="21"/>
      <c r="I13" s="21"/>
      <c r="J13" s="21"/>
      <c r="K13" s="21"/>
      <c r="L13" s="21"/>
    </row>
    <row r="14" spans="1:12" x14ac:dyDescent="0.25">
      <c r="A14" t="s">
        <v>9</v>
      </c>
      <c r="B14" s="2">
        <f>(B12-0.6)/B13*1000</f>
        <v>0.57446808510638292</v>
      </c>
      <c r="C14" t="s">
        <v>3</v>
      </c>
      <c r="D14" s="21" t="s">
        <v>10</v>
      </c>
      <c r="E14" s="21"/>
      <c r="F14" s="21"/>
      <c r="G14" s="21"/>
      <c r="H14" s="21"/>
      <c r="I14" s="21"/>
      <c r="J14" s="21"/>
      <c r="K14" s="21"/>
      <c r="L14" s="21"/>
    </row>
    <row r="15" spans="1:12" x14ac:dyDescent="0.25">
      <c r="A15" t="s">
        <v>35</v>
      </c>
      <c r="B15" s="5">
        <f>B14*B12</f>
        <v>1.8957446808510636</v>
      </c>
      <c r="C15" t="s">
        <v>31</v>
      </c>
      <c r="D15" t="s">
        <v>36</v>
      </c>
    </row>
    <row r="16" spans="1:12" x14ac:dyDescent="0.25">
      <c r="A16" t="s">
        <v>41</v>
      </c>
      <c r="B16" s="2">
        <f>B14/B4</f>
        <v>0.41033434650455924</v>
      </c>
      <c r="C16" t="s">
        <v>3</v>
      </c>
    </row>
    <row r="17" spans="1:20" x14ac:dyDescent="0.25">
      <c r="A17" s="1"/>
    </row>
    <row r="18" spans="1:20" x14ac:dyDescent="0.25">
      <c r="A18" s="8" t="s">
        <v>11</v>
      </c>
      <c r="B18" s="22" t="s">
        <v>26</v>
      </c>
      <c r="C18" s="22"/>
      <c r="D18" s="22"/>
      <c r="E18" s="22"/>
      <c r="F18" s="22"/>
      <c r="G18" s="8"/>
      <c r="H18" s="8"/>
      <c r="I18" s="8"/>
      <c r="J18" s="8" t="s">
        <v>7</v>
      </c>
      <c r="K18" s="23" t="s">
        <v>8</v>
      </c>
      <c r="L18" s="23"/>
      <c r="M18" s="23"/>
      <c r="N18" s="23"/>
      <c r="O18" s="23"/>
      <c r="P18" s="23"/>
      <c r="Q18" s="23"/>
      <c r="R18" s="23"/>
      <c r="S18" s="23"/>
    </row>
    <row r="19" spans="1:20" x14ac:dyDescent="0.25">
      <c r="A19" s="7" t="s">
        <v>15</v>
      </c>
      <c r="B19" s="7">
        <v>3.3</v>
      </c>
      <c r="C19" s="7">
        <v>5</v>
      </c>
      <c r="D19" s="7">
        <v>12</v>
      </c>
      <c r="E19" s="7">
        <v>24</v>
      </c>
      <c r="F19" s="7">
        <v>48</v>
      </c>
      <c r="G19" s="7">
        <v>100</v>
      </c>
      <c r="H19" s="7">
        <v>220</v>
      </c>
      <c r="I19" s="7">
        <v>480</v>
      </c>
      <c r="J19" s="7"/>
      <c r="K19" s="24"/>
      <c r="L19" s="24"/>
      <c r="M19" s="24"/>
      <c r="N19" s="24"/>
      <c r="O19" s="24"/>
      <c r="P19" s="24"/>
      <c r="Q19" s="24"/>
      <c r="R19" s="24"/>
      <c r="S19" s="24"/>
      <c r="T19" s="1"/>
    </row>
    <row r="20" spans="1:20" x14ac:dyDescent="0.25">
      <c r="A20" t="s">
        <v>16</v>
      </c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3">
        <v>2.5</v>
      </c>
      <c r="B21" s="5">
        <f>(B$19-$B$9)/$A21*1000</f>
        <v>760</v>
      </c>
      <c r="C21" s="5">
        <f t="shared" ref="C21:I23" si="0">(C$19-$B$9)/$A21*1000</f>
        <v>1440</v>
      </c>
      <c r="D21" s="27">
        <f t="shared" si="0"/>
        <v>4240</v>
      </c>
      <c r="E21" s="5">
        <f t="shared" si="0"/>
        <v>9040.0000000000018</v>
      </c>
      <c r="F21" s="5">
        <f t="shared" si="0"/>
        <v>18640</v>
      </c>
      <c r="G21" s="5">
        <f t="shared" si="0"/>
        <v>39440</v>
      </c>
      <c r="H21" s="5">
        <f t="shared" si="0"/>
        <v>87440</v>
      </c>
      <c r="I21" s="5">
        <f t="shared" si="0"/>
        <v>191440</v>
      </c>
      <c r="J21" t="s">
        <v>4</v>
      </c>
      <c r="K21" s="21" t="s">
        <v>84</v>
      </c>
      <c r="L21" s="21"/>
      <c r="M21" s="21"/>
      <c r="N21" s="21"/>
      <c r="O21" s="21"/>
      <c r="P21" s="21"/>
      <c r="Q21" s="21"/>
      <c r="R21" s="21"/>
      <c r="S21" s="21"/>
    </row>
    <row r="22" spans="1:20" x14ac:dyDescent="0.25">
      <c r="A22" s="3">
        <v>12</v>
      </c>
      <c r="B22" s="5">
        <f t="shared" ref="B22:B23" si="1">(B$19-$B$9)/$A22*1000</f>
        <v>158.33333333333331</v>
      </c>
      <c r="C22" s="5">
        <f t="shared" si="0"/>
        <v>300</v>
      </c>
      <c r="D22" s="27">
        <f t="shared" si="0"/>
        <v>883.33333333333326</v>
      </c>
      <c r="E22" s="5">
        <f t="shared" si="0"/>
        <v>1883.3333333333335</v>
      </c>
      <c r="F22" s="5">
        <f t="shared" si="0"/>
        <v>3883.3333333333335</v>
      </c>
      <c r="G22" s="5">
        <f t="shared" si="0"/>
        <v>8216.6666666666661</v>
      </c>
      <c r="H22" s="5">
        <f t="shared" si="0"/>
        <v>18216.666666666664</v>
      </c>
      <c r="I22" s="5">
        <f t="shared" si="0"/>
        <v>39883.333333333336</v>
      </c>
      <c r="J22" t="s">
        <v>4</v>
      </c>
      <c r="K22" s="21" t="s">
        <v>85</v>
      </c>
      <c r="L22" s="21"/>
      <c r="M22" s="21"/>
      <c r="N22" s="21"/>
      <c r="O22" s="21"/>
      <c r="P22" s="21"/>
      <c r="Q22" s="21"/>
      <c r="R22" s="21"/>
      <c r="S22" s="21"/>
    </row>
    <row r="23" spans="1:20" x14ac:dyDescent="0.25">
      <c r="A23" s="3">
        <v>20</v>
      </c>
      <c r="B23" s="5">
        <f t="shared" si="1"/>
        <v>95</v>
      </c>
      <c r="C23" s="5">
        <f t="shared" si="0"/>
        <v>180</v>
      </c>
      <c r="D23" s="27">
        <f t="shared" si="0"/>
        <v>530</v>
      </c>
      <c r="E23" s="5">
        <f t="shared" si="0"/>
        <v>1130.0000000000002</v>
      </c>
      <c r="F23" s="5">
        <f t="shared" si="0"/>
        <v>2330</v>
      </c>
      <c r="G23" s="5">
        <f t="shared" si="0"/>
        <v>4930</v>
      </c>
      <c r="H23" s="5">
        <f t="shared" si="0"/>
        <v>10930</v>
      </c>
      <c r="I23" s="5">
        <f t="shared" si="0"/>
        <v>23930</v>
      </c>
      <c r="J23" t="s">
        <v>4</v>
      </c>
      <c r="K23" s="21" t="s">
        <v>86</v>
      </c>
      <c r="L23" s="21"/>
      <c r="M23" s="21"/>
      <c r="N23" s="21"/>
      <c r="O23" s="21"/>
      <c r="P23" s="21"/>
      <c r="Q23" s="21"/>
      <c r="R23" s="21"/>
      <c r="S23" s="21"/>
    </row>
    <row r="24" spans="1:20" x14ac:dyDescent="0.25">
      <c r="K24" s="21"/>
      <c r="L24" s="21"/>
      <c r="M24" s="21"/>
      <c r="N24" s="21"/>
      <c r="O24" s="21"/>
      <c r="P24" s="21"/>
      <c r="Q24" s="21"/>
      <c r="R24" s="21"/>
      <c r="S24" s="21"/>
    </row>
    <row r="25" spans="1:20" x14ac:dyDescent="0.25">
      <c r="A25" t="s">
        <v>27</v>
      </c>
      <c r="K25" s="21"/>
      <c r="L25" s="21"/>
      <c r="M25" s="21"/>
      <c r="N25" s="21"/>
      <c r="O25" s="21"/>
      <c r="P25" s="21"/>
      <c r="Q25" s="21"/>
      <c r="R25" s="21"/>
      <c r="S25" s="21"/>
    </row>
    <row r="26" spans="1:20" x14ac:dyDescent="0.25">
      <c r="A26" s="3">
        <v>220</v>
      </c>
      <c r="B26" s="4">
        <f>(B$19-$B$9)/$A26*1000</f>
        <v>8.6363636363636367</v>
      </c>
      <c r="C26" s="4">
        <f t="shared" ref="C26:I35" si="2">(C$19-$B$9)/$A26*1000</f>
        <v>16.363636363636363</v>
      </c>
      <c r="D26" s="28">
        <f t="shared" si="2"/>
        <v>48.18181818181818</v>
      </c>
      <c r="E26" s="4">
        <f t="shared" si="2"/>
        <v>102.72727272727273</v>
      </c>
      <c r="F26" s="4">
        <f t="shared" si="2"/>
        <v>211.81818181818181</v>
      </c>
      <c r="G26" s="4">
        <f t="shared" si="2"/>
        <v>448.18181818181819</v>
      </c>
      <c r="H26" s="4">
        <f t="shared" si="2"/>
        <v>993.63636363636363</v>
      </c>
      <c r="I26" s="4">
        <f t="shared" si="2"/>
        <v>2175.454545454546</v>
      </c>
      <c r="J26" t="s">
        <v>3</v>
      </c>
      <c r="K26" s="21" t="str">
        <f>"LED forward current with a "&amp;$A26&amp;" Ohm input resistor"</f>
        <v>LED forward current with a 220 Ohm input resistor</v>
      </c>
      <c r="L26" s="21"/>
      <c r="M26" s="21"/>
      <c r="N26" s="21"/>
      <c r="O26" s="21"/>
      <c r="P26" s="21"/>
      <c r="Q26" s="21"/>
      <c r="R26" s="21"/>
      <c r="S26" s="21"/>
    </row>
    <row r="27" spans="1:20" x14ac:dyDescent="0.25">
      <c r="A27" s="3">
        <v>470</v>
      </c>
      <c r="B27" s="4">
        <f t="shared" ref="B27:B35" si="3">(B$19-$B$9)/$A27*1000</f>
        <v>4.042553191489362</v>
      </c>
      <c r="C27" s="4">
        <f t="shared" si="2"/>
        <v>7.6595744680851068</v>
      </c>
      <c r="D27" s="28">
        <f t="shared" si="2"/>
        <v>22.553191489361701</v>
      </c>
      <c r="E27" s="4">
        <f t="shared" si="2"/>
        <v>48.085106382978729</v>
      </c>
      <c r="F27" s="4">
        <f t="shared" si="2"/>
        <v>99.148936170212764</v>
      </c>
      <c r="G27" s="4">
        <f t="shared" si="2"/>
        <v>209.78723404255317</v>
      </c>
      <c r="H27" s="4">
        <f t="shared" si="2"/>
        <v>465.10638297872339</v>
      </c>
      <c r="I27" s="4">
        <f t="shared" si="2"/>
        <v>1018.2978723404257</v>
      </c>
      <c r="J27" t="s">
        <v>3</v>
      </c>
      <c r="K27" s="21" t="str">
        <f t="shared" ref="K27:K35" si="4">"LED forward current with a "&amp;$A27&amp;" Ohm input resistor"</f>
        <v>LED forward current with a 470 Ohm input resistor</v>
      </c>
      <c r="L27" s="21"/>
      <c r="M27" s="21"/>
      <c r="N27" s="21"/>
      <c r="O27" s="21"/>
      <c r="P27" s="21"/>
      <c r="Q27" s="21"/>
      <c r="R27" s="21"/>
      <c r="S27" s="21"/>
    </row>
    <row r="28" spans="1:20" x14ac:dyDescent="0.25">
      <c r="A28" s="3">
        <v>560</v>
      </c>
      <c r="B28" s="4">
        <f t="shared" si="3"/>
        <v>3.3928571428571428</v>
      </c>
      <c r="C28" s="4">
        <f t="shared" si="2"/>
        <v>6.4285714285714288</v>
      </c>
      <c r="D28" s="28">
        <f t="shared" si="2"/>
        <v>18.928571428571427</v>
      </c>
      <c r="E28" s="4">
        <f t="shared" si="2"/>
        <v>40.357142857142861</v>
      </c>
      <c r="F28" s="4">
        <f t="shared" si="2"/>
        <v>83.214285714285708</v>
      </c>
      <c r="G28" s="4">
        <f t="shared" si="2"/>
        <v>176.07142857142858</v>
      </c>
      <c r="H28" s="4">
        <f t="shared" si="2"/>
        <v>390.35714285714283</v>
      </c>
      <c r="I28" s="4">
        <f t="shared" si="2"/>
        <v>854.64285714285711</v>
      </c>
      <c r="J28" t="s">
        <v>3</v>
      </c>
      <c r="K28" s="21" t="str">
        <f t="shared" si="4"/>
        <v>LED forward current with a 560 Ohm input resistor</v>
      </c>
      <c r="L28" s="21"/>
      <c r="M28" s="21"/>
      <c r="N28" s="21"/>
      <c r="O28" s="21"/>
      <c r="P28" s="21"/>
      <c r="Q28" s="21"/>
      <c r="R28" s="21"/>
      <c r="S28" s="21"/>
    </row>
    <row r="29" spans="1:20" x14ac:dyDescent="0.25">
      <c r="A29" s="3">
        <v>680</v>
      </c>
      <c r="B29" s="4">
        <f t="shared" si="3"/>
        <v>2.7941176470588234</v>
      </c>
      <c r="C29" s="4">
        <f t="shared" si="2"/>
        <v>5.2941176470588234</v>
      </c>
      <c r="D29" s="28">
        <f t="shared" si="2"/>
        <v>15.588235294117645</v>
      </c>
      <c r="E29" s="4">
        <f t="shared" si="2"/>
        <v>33.235294117647065</v>
      </c>
      <c r="F29" s="4">
        <f t="shared" si="2"/>
        <v>68.529411764705884</v>
      </c>
      <c r="G29" s="4">
        <f t="shared" si="2"/>
        <v>145</v>
      </c>
      <c r="H29" s="4">
        <f t="shared" si="2"/>
        <v>321.47058823529414</v>
      </c>
      <c r="I29" s="4">
        <f t="shared" si="2"/>
        <v>703.82352941176475</v>
      </c>
      <c r="J29" t="s">
        <v>3</v>
      </c>
      <c r="K29" s="21" t="str">
        <f t="shared" si="4"/>
        <v>LED forward current with a 680 Ohm input resistor</v>
      </c>
      <c r="L29" s="21"/>
      <c r="M29" s="21"/>
      <c r="N29" s="21"/>
      <c r="O29" s="21"/>
      <c r="P29" s="21"/>
      <c r="Q29" s="21"/>
      <c r="R29" s="21"/>
      <c r="S29" s="21"/>
    </row>
    <row r="30" spans="1:20" x14ac:dyDescent="0.25">
      <c r="A30" s="3">
        <v>1000</v>
      </c>
      <c r="B30" s="4">
        <f t="shared" si="3"/>
        <v>1.9</v>
      </c>
      <c r="C30" s="4">
        <f t="shared" si="2"/>
        <v>3.6</v>
      </c>
      <c r="D30" s="28">
        <f t="shared" si="2"/>
        <v>10.6</v>
      </c>
      <c r="E30" s="4">
        <f t="shared" si="2"/>
        <v>22.6</v>
      </c>
      <c r="F30" s="4">
        <f t="shared" si="2"/>
        <v>46.6</v>
      </c>
      <c r="G30" s="4">
        <f t="shared" si="2"/>
        <v>98.6</v>
      </c>
      <c r="H30" s="4">
        <f t="shared" si="2"/>
        <v>218.6</v>
      </c>
      <c r="I30" s="4">
        <f t="shared" si="2"/>
        <v>478.6</v>
      </c>
      <c r="J30" t="s">
        <v>3</v>
      </c>
      <c r="K30" s="21" t="str">
        <f t="shared" si="4"/>
        <v>LED forward current with a 1000 Ohm input resistor</v>
      </c>
      <c r="L30" s="21"/>
      <c r="M30" s="21"/>
      <c r="N30" s="21"/>
      <c r="O30" s="21"/>
      <c r="P30" s="21"/>
      <c r="Q30" s="21"/>
      <c r="R30" s="21"/>
      <c r="S30" s="21"/>
    </row>
    <row r="31" spans="1:20" x14ac:dyDescent="0.25">
      <c r="A31" s="3">
        <v>2200</v>
      </c>
      <c r="B31" s="4">
        <f t="shared" si="3"/>
        <v>0.86363636363636365</v>
      </c>
      <c r="C31" s="4">
        <f t="shared" si="2"/>
        <v>1.6363636363636362</v>
      </c>
      <c r="D31" s="28">
        <f t="shared" si="2"/>
        <v>4.8181818181818175</v>
      </c>
      <c r="E31" s="4">
        <f t="shared" si="2"/>
        <v>10.272727272727273</v>
      </c>
      <c r="F31" s="4">
        <f t="shared" si="2"/>
        <v>21.181818181818183</v>
      </c>
      <c r="G31" s="4">
        <f t="shared" si="2"/>
        <v>44.818181818181813</v>
      </c>
      <c r="H31" s="4">
        <f t="shared" si="2"/>
        <v>99.36363636363636</v>
      </c>
      <c r="I31" s="4">
        <f t="shared" si="2"/>
        <v>217.54545454545456</v>
      </c>
      <c r="J31" t="s">
        <v>3</v>
      </c>
      <c r="K31" s="21" t="str">
        <f t="shared" si="4"/>
        <v>LED forward current with a 2200 Ohm input resistor</v>
      </c>
      <c r="L31" s="21"/>
      <c r="M31" s="21"/>
      <c r="N31" s="21"/>
      <c r="O31" s="21"/>
      <c r="P31" s="21"/>
      <c r="Q31" s="21"/>
      <c r="R31" s="21"/>
      <c r="S31" s="21"/>
    </row>
    <row r="32" spans="1:20" s="25" customFormat="1" x14ac:dyDescent="0.25">
      <c r="A32" s="36">
        <v>4700</v>
      </c>
      <c r="B32" s="37">
        <f t="shared" si="3"/>
        <v>0.40425531914893614</v>
      </c>
      <c r="C32" s="37">
        <f t="shared" si="2"/>
        <v>0.76595744680851074</v>
      </c>
      <c r="D32" s="38">
        <f t="shared" si="2"/>
        <v>2.2553191489361701</v>
      </c>
      <c r="E32" s="37">
        <f t="shared" si="2"/>
        <v>4.8085106382978724</v>
      </c>
      <c r="F32" s="37">
        <f t="shared" si="2"/>
        <v>9.9148936170212778</v>
      </c>
      <c r="G32" s="37">
        <f t="shared" si="2"/>
        <v>20.978723404255319</v>
      </c>
      <c r="H32" s="37">
        <f t="shared" si="2"/>
        <v>46.51063829787234</v>
      </c>
      <c r="I32" s="39">
        <f t="shared" si="2"/>
        <v>101.82978723404256</v>
      </c>
      <c r="J32" s="25" t="s">
        <v>3</v>
      </c>
      <c r="K32" s="26" t="str">
        <f t="shared" si="4"/>
        <v>LED forward current with a 4700 Ohm input resistor</v>
      </c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3">
        <v>6800</v>
      </c>
      <c r="B33" s="4">
        <f t="shared" si="3"/>
        <v>0.27941176470588236</v>
      </c>
      <c r="C33" s="4">
        <f t="shared" si="2"/>
        <v>0.52941176470588247</v>
      </c>
      <c r="D33" s="28">
        <f t="shared" si="2"/>
        <v>1.5588235294117647</v>
      </c>
      <c r="E33" s="4">
        <f t="shared" si="2"/>
        <v>3.3235294117647061</v>
      </c>
      <c r="F33" s="4">
        <f t="shared" si="2"/>
        <v>6.8529411764705888</v>
      </c>
      <c r="G33" s="4">
        <f t="shared" si="2"/>
        <v>14.499999999999998</v>
      </c>
      <c r="H33" s="4">
        <f t="shared" si="2"/>
        <v>32.147058823529413</v>
      </c>
      <c r="I33" s="4">
        <f t="shared" si="2"/>
        <v>70.382352941176478</v>
      </c>
      <c r="J33" t="s">
        <v>3</v>
      </c>
      <c r="K33" s="21" t="str">
        <f t="shared" si="4"/>
        <v>LED forward current with a 6800 Ohm input resistor</v>
      </c>
      <c r="L33" s="21"/>
      <c r="M33" s="21"/>
      <c r="N33" s="21"/>
      <c r="O33" s="21"/>
      <c r="P33" s="21"/>
      <c r="Q33" s="21"/>
      <c r="R33" s="21"/>
      <c r="S33" s="21"/>
    </row>
    <row r="34" spans="1:19" x14ac:dyDescent="0.25">
      <c r="A34" s="3">
        <v>10000</v>
      </c>
      <c r="B34" s="4">
        <f t="shared" si="3"/>
        <v>0.18999999999999997</v>
      </c>
      <c r="C34" s="4">
        <f t="shared" si="2"/>
        <v>0.36000000000000004</v>
      </c>
      <c r="D34" s="28">
        <f t="shared" si="2"/>
        <v>1.06</v>
      </c>
      <c r="E34" s="4">
        <f t="shared" si="2"/>
        <v>2.2600000000000002</v>
      </c>
      <c r="F34" s="4">
        <f t="shared" si="2"/>
        <v>4.66</v>
      </c>
      <c r="G34" s="4">
        <f t="shared" si="2"/>
        <v>9.86</v>
      </c>
      <c r="H34" s="4">
        <f t="shared" si="2"/>
        <v>21.86</v>
      </c>
      <c r="I34" s="4">
        <f t="shared" si="2"/>
        <v>47.86</v>
      </c>
      <c r="J34" t="s">
        <v>3</v>
      </c>
      <c r="K34" s="21" t="str">
        <f t="shared" si="4"/>
        <v>LED forward current with a 10000 Ohm input resistor</v>
      </c>
      <c r="L34" s="21"/>
      <c r="M34" s="21"/>
      <c r="N34" s="21"/>
      <c r="O34" s="21"/>
      <c r="P34" s="21"/>
      <c r="Q34" s="21"/>
      <c r="R34" s="21"/>
      <c r="S34" s="21"/>
    </row>
    <row r="35" spans="1:19" x14ac:dyDescent="0.25">
      <c r="A35" s="3">
        <v>20000</v>
      </c>
      <c r="B35" s="4">
        <f t="shared" si="3"/>
        <v>9.4999999999999987E-2</v>
      </c>
      <c r="C35" s="4">
        <f t="shared" si="2"/>
        <v>0.18000000000000002</v>
      </c>
      <c r="D35" s="28">
        <f t="shared" si="2"/>
        <v>0.53</v>
      </c>
      <c r="E35" s="4">
        <f t="shared" si="2"/>
        <v>1.1300000000000001</v>
      </c>
      <c r="F35" s="4">
        <f t="shared" si="2"/>
        <v>2.33</v>
      </c>
      <c r="G35" s="4">
        <f t="shared" si="2"/>
        <v>4.93</v>
      </c>
      <c r="H35" s="4">
        <f t="shared" si="2"/>
        <v>10.93</v>
      </c>
      <c r="I35" s="4">
        <f t="shared" si="2"/>
        <v>23.93</v>
      </c>
      <c r="J35" t="s">
        <v>3</v>
      </c>
      <c r="K35" s="21" t="str">
        <f t="shared" si="4"/>
        <v>LED forward current with a 20000 Ohm input resistor</v>
      </c>
      <c r="L35" s="21"/>
      <c r="M35" s="21"/>
      <c r="N35" s="21"/>
      <c r="O35" s="21"/>
      <c r="P35" s="21"/>
      <c r="Q35" s="21"/>
      <c r="R35" s="21"/>
      <c r="S35" s="21"/>
    </row>
    <row r="37" spans="1:19" x14ac:dyDescent="0.25">
      <c r="A37" t="s">
        <v>39</v>
      </c>
    </row>
    <row r="38" spans="1:19" x14ac:dyDescent="0.25">
      <c r="A38" s="3">
        <v>220</v>
      </c>
      <c r="B38" s="2">
        <f>IF(B26*$B$4&lt;$B$14,B26*$B$4/100,$B$14)</f>
        <v>0.57446808510638292</v>
      </c>
      <c r="C38" s="2">
        <f t="shared" ref="C38:I38" si="5">IF(C26*$B$4&lt;$B$14,C26*$B$4,$B$14)</f>
        <v>0.57446808510638292</v>
      </c>
      <c r="D38" s="29">
        <f t="shared" si="5"/>
        <v>0.57446808510638292</v>
      </c>
      <c r="E38" s="2">
        <f t="shared" si="5"/>
        <v>0.57446808510638292</v>
      </c>
      <c r="F38" s="2">
        <f t="shared" si="5"/>
        <v>0.57446808510638292</v>
      </c>
      <c r="G38" s="2">
        <f t="shared" si="5"/>
        <v>0.57446808510638292</v>
      </c>
      <c r="H38" s="2">
        <f t="shared" si="5"/>
        <v>0.57446808510638292</v>
      </c>
      <c r="I38" s="2">
        <f t="shared" si="5"/>
        <v>0.57446808510638292</v>
      </c>
      <c r="J38" t="s">
        <v>3</v>
      </c>
      <c r="K38" s="21" t="str">
        <f>"Collector current with a "&amp;$A38&amp;" Ohm input resistor and CTR of 140"</f>
        <v>Collector current with a 220 Ohm input resistor and CTR of 140</v>
      </c>
      <c r="L38" s="21"/>
      <c r="M38" s="21"/>
      <c r="N38" s="21"/>
      <c r="O38" s="21"/>
      <c r="P38" s="21"/>
      <c r="Q38" s="21"/>
      <c r="R38" s="21"/>
      <c r="S38" s="21"/>
    </row>
    <row r="39" spans="1:19" x14ac:dyDescent="0.25">
      <c r="A39" s="3">
        <v>470</v>
      </c>
      <c r="B39" s="2">
        <f t="shared" ref="B39:I39" si="6">IF(B27*$B$4&lt;$B$14,B27*$B$4,$B$14)</f>
        <v>0.57446808510638292</v>
      </c>
      <c r="C39" s="2">
        <f t="shared" si="6"/>
        <v>0.57446808510638292</v>
      </c>
      <c r="D39" s="30">
        <f t="shared" si="6"/>
        <v>0.57446808510638292</v>
      </c>
      <c r="E39" s="2">
        <f t="shared" si="6"/>
        <v>0.57446808510638292</v>
      </c>
      <c r="F39" s="2">
        <f t="shared" si="6"/>
        <v>0.57446808510638292</v>
      </c>
      <c r="G39" s="2">
        <f t="shared" si="6"/>
        <v>0.57446808510638292</v>
      </c>
      <c r="H39" s="2">
        <f t="shared" si="6"/>
        <v>0.57446808510638292</v>
      </c>
      <c r="I39" s="2">
        <f t="shared" si="6"/>
        <v>0.57446808510638292</v>
      </c>
      <c r="J39" t="s">
        <v>3</v>
      </c>
      <c r="K39" s="21" t="str">
        <f t="shared" ref="K39:K47" si="7">"Collector current with a "&amp;$A39&amp;" Ohm input resistor and CTR of 140"</f>
        <v>Collector current with a 470 Ohm input resistor and CTR of 140</v>
      </c>
      <c r="L39" s="21"/>
      <c r="M39" s="21"/>
      <c r="N39" s="21"/>
      <c r="O39" s="21"/>
      <c r="P39" s="21"/>
      <c r="Q39" s="21"/>
      <c r="R39" s="21"/>
      <c r="S39" s="21"/>
    </row>
    <row r="40" spans="1:19" x14ac:dyDescent="0.25">
      <c r="A40" s="3">
        <v>560</v>
      </c>
      <c r="B40" s="2">
        <f t="shared" ref="B40:I40" si="8">IF(B28*$B$4&lt;$B$14,B28*$B$4,$B$14)</f>
        <v>0.57446808510638292</v>
      </c>
      <c r="C40" s="2">
        <f t="shared" si="8"/>
        <v>0.57446808510638292</v>
      </c>
      <c r="D40" s="30">
        <f t="shared" si="8"/>
        <v>0.57446808510638292</v>
      </c>
      <c r="E40" s="2">
        <f t="shared" si="8"/>
        <v>0.57446808510638292</v>
      </c>
      <c r="F40" s="2">
        <f t="shared" si="8"/>
        <v>0.57446808510638292</v>
      </c>
      <c r="G40" s="2">
        <f t="shared" si="8"/>
        <v>0.57446808510638292</v>
      </c>
      <c r="H40" s="2">
        <f t="shared" si="8"/>
        <v>0.57446808510638292</v>
      </c>
      <c r="I40" s="2">
        <f t="shared" si="8"/>
        <v>0.57446808510638292</v>
      </c>
      <c r="J40" t="s">
        <v>3</v>
      </c>
      <c r="K40" s="21" t="str">
        <f t="shared" si="7"/>
        <v>Collector current with a 560 Ohm input resistor and CTR of 140</v>
      </c>
      <c r="L40" s="21"/>
      <c r="M40" s="21"/>
      <c r="N40" s="21"/>
      <c r="O40" s="21"/>
      <c r="P40" s="21"/>
      <c r="Q40" s="21"/>
      <c r="R40" s="21"/>
      <c r="S40" s="21"/>
    </row>
    <row r="41" spans="1:19" x14ac:dyDescent="0.25">
      <c r="A41" s="3">
        <v>680</v>
      </c>
      <c r="B41" s="2">
        <f t="shared" ref="B41:I41" si="9">IF(B29*$B$4&lt;$B$14,B29*$B$4,$B$14)</f>
        <v>0.57446808510638292</v>
      </c>
      <c r="C41" s="2">
        <f t="shared" si="9"/>
        <v>0.57446808510638292</v>
      </c>
      <c r="D41" s="30">
        <f t="shared" si="9"/>
        <v>0.57446808510638292</v>
      </c>
      <c r="E41" s="2">
        <f t="shared" si="9"/>
        <v>0.57446808510638292</v>
      </c>
      <c r="F41" s="2">
        <f t="shared" si="9"/>
        <v>0.57446808510638292</v>
      </c>
      <c r="G41" s="2">
        <f t="shared" si="9"/>
        <v>0.57446808510638292</v>
      </c>
      <c r="H41" s="2">
        <f t="shared" si="9"/>
        <v>0.57446808510638292</v>
      </c>
      <c r="I41" s="2">
        <f t="shared" si="9"/>
        <v>0.57446808510638292</v>
      </c>
      <c r="J41" t="s">
        <v>3</v>
      </c>
      <c r="K41" s="21" t="str">
        <f t="shared" si="7"/>
        <v>Collector current with a 680 Ohm input resistor and CTR of 140</v>
      </c>
      <c r="L41" s="21"/>
      <c r="M41" s="21"/>
      <c r="N41" s="21"/>
      <c r="O41" s="21"/>
      <c r="P41" s="21"/>
      <c r="Q41" s="21"/>
      <c r="R41" s="21"/>
      <c r="S41" s="21"/>
    </row>
    <row r="42" spans="1:19" x14ac:dyDescent="0.25">
      <c r="A42" s="3">
        <v>1000</v>
      </c>
      <c r="B42" s="2">
        <f t="shared" ref="B42:I42" si="10">IF(B30*$B$4&lt;$B$14,B30*$B$4,$B$14)</f>
        <v>0.57446808510638292</v>
      </c>
      <c r="C42" s="2">
        <f t="shared" si="10"/>
        <v>0.57446808510638292</v>
      </c>
      <c r="D42" s="30">
        <f t="shared" si="10"/>
        <v>0.57446808510638292</v>
      </c>
      <c r="E42" s="2">
        <f t="shared" si="10"/>
        <v>0.57446808510638292</v>
      </c>
      <c r="F42" s="2">
        <f t="shared" si="10"/>
        <v>0.57446808510638292</v>
      </c>
      <c r="G42" s="2">
        <f t="shared" si="10"/>
        <v>0.57446808510638292</v>
      </c>
      <c r="H42" s="2">
        <f t="shared" si="10"/>
        <v>0.57446808510638292</v>
      </c>
      <c r="I42" s="2">
        <f t="shared" si="10"/>
        <v>0.57446808510638292</v>
      </c>
      <c r="J42" t="s">
        <v>3</v>
      </c>
      <c r="K42" s="21" t="str">
        <f t="shared" si="7"/>
        <v>Collector current with a 1000 Ohm input resistor and CTR of 140</v>
      </c>
      <c r="L42" s="21"/>
      <c r="M42" s="21"/>
      <c r="N42" s="21"/>
      <c r="O42" s="21"/>
      <c r="P42" s="21"/>
      <c r="Q42" s="21"/>
      <c r="R42" s="21"/>
      <c r="S42" s="21"/>
    </row>
    <row r="43" spans="1:19" x14ac:dyDescent="0.25">
      <c r="A43" s="3">
        <v>2200</v>
      </c>
      <c r="B43" s="2">
        <f t="shared" ref="B43:I43" si="11">IF(B31*$B$4&lt;$B$14,B31*$B$4,$B$14)</f>
        <v>0.57446808510638292</v>
      </c>
      <c r="C43" s="2">
        <f t="shared" si="11"/>
        <v>0.57446808510638292</v>
      </c>
      <c r="D43" s="30">
        <f t="shared" si="11"/>
        <v>0.57446808510638292</v>
      </c>
      <c r="E43" s="2">
        <f t="shared" si="11"/>
        <v>0.57446808510638292</v>
      </c>
      <c r="F43" s="2">
        <f t="shared" si="11"/>
        <v>0.57446808510638292</v>
      </c>
      <c r="G43" s="2">
        <f t="shared" si="11"/>
        <v>0.57446808510638292</v>
      </c>
      <c r="H43" s="2">
        <f t="shared" si="11"/>
        <v>0.57446808510638292</v>
      </c>
      <c r="I43" s="2">
        <f t="shared" si="11"/>
        <v>0.57446808510638292</v>
      </c>
      <c r="J43" t="s">
        <v>3</v>
      </c>
      <c r="K43" s="21" t="str">
        <f t="shared" si="7"/>
        <v>Collector current with a 2200 Ohm input resistor and CTR of 140</v>
      </c>
      <c r="L43" s="21"/>
      <c r="M43" s="21"/>
      <c r="N43" s="21"/>
      <c r="O43" s="21"/>
      <c r="P43" s="21"/>
      <c r="Q43" s="21"/>
      <c r="R43" s="21"/>
      <c r="S43" s="21"/>
    </row>
    <row r="44" spans="1:19" s="25" customFormat="1" x14ac:dyDescent="0.25">
      <c r="A44" s="36">
        <v>4700</v>
      </c>
      <c r="B44" s="32">
        <f t="shared" ref="B44:I44" si="12">IF(B32*$B$4&lt;$B$14,B32*$B$4,$B$14)</f>
        <v>0.56595744680851057</v>
      </c>
      <c r="C44" s="33">
        <f t="shared" si="12"/>
        <v>0.57446808510638292</v>
      </c>
      <c r="D44" s="34">
        <f t="shared" si="12"/>
        <v>0.57446808510638292</v>
      </c>
      <c r="E44" s="33">
        <f t="shared" si="12"/>
        <v>0.57446808510638292</v>
      </c>
      <c r="F44" s="33">
        <f t="shared" si="12"/>
        <v>0.57446808510638292</v>
      </c>
      <c r="G44" s="33">
        <f t="shared" si="12"/>
        <v>0.57446808510638292</v>
      </c>
      <c r="H44" s="33">
        <f t="shared" si="12"/>
        <v>0.57446808510638292</v>
      </c>
      <c r="I44" s="35">
        <f t="shared" si="12"/>
        <v>0.57446808510638292</v>
      </c>
      <c r="J44" s="25" t="s">
        <v>3</v>
      </c>
      <c r="K44" s="26" t="str">
        <f t="shared" si="7"/>
        <v>Collector current with a 4700 Ohm input resistor and CTR of 140</v>
      </c>
      <c r="L44" s="26"/>
      <c r="M44" s="26"/>
      <c r="N44" s="26"/>
      <c r="O44" s="26"/>
      <c r="P44" s="26"/>
      <c r="Q44" s="26"/>
      <c r="R44" s="26"/>
      <c r="S44" s="26"/>
    </row>
    <row r="45" spans="1:19" x14ac:dyDescent="0.25">
      <c r="A45" s="3">
        <v>6800</v>
      </c>
      <c r="B45" s="2">
        <f t="shared" ref="B45:I45" si="13">IF(B33*$B$4&lt;$B$14,B33*$B$4,$B$14)</f>
        <v>0.39117647058823529</v>
      </c>
      <c r="C45" s="2">
        <f t="shared" si="13"/>
        <v>0.57446808510638292</v>
      </c>
      <c r="D45" s="30">
        <f t="shared" si="13"/>
        <v>0.57446808510638292</v>
      </c>
      <c r="E45" s="2">
        <f t="shared" si="13"/>
        <v>0.57446808510638292</v>
      </c>
      <c r="F45" s="2">
        <f t="shared" si="13"/>
        <v>0.57446808510638292</v>
      </c>
      <c r="G45" s="2">
        <f t="shared" si="13"/>
        <v>0.57446808510638292</v>
      </c>
      <c r="H45" s="2">
        <f t="shared" si="13"/>
        <v>0.57446808510638292</v>
      </c>
      <c r="I45" s="2">
        <f t="shared" si="13"/>
        <v>0.57446808510638292</v>
      </c>
      <c r="J45" t="s">
        <v>3</v>
      </c>
      <c r="K45" s="21" t="str">
        <f t="shared" si="7"/>
        <v>Collector current with a 6800 Ohm input resistor and CTR of 140</v>
      </c>
      <c r="L45" s="21"/>
      <c r="M45" s="21"/>
      <c r="N45" s="21"/>
      <c r="O45" s="21"/>
      <c r="P45" s="21"/>
      <c r="Q45" s="21"/>
      <c r="R45" s="21"/>
      <c r="S45" s="21"/>
    </row>
    <row r="46" spans="1:19" x14ac:dyDescent="0.25">
      <c r="A46" s="3">
        <v>10000</v>
      </c>
      <c r="B46" s="2">
        <f t="shared" ref="B46:I46" si="14">IF(B34*$B$4&lt;$B$14,B34*$B$4,$B$14)</f>
        <v>0.26599999999999996</v>
      </c>
      <c r="C46" s="2">
        <f t="shared" si="14"/>
        <v>0.504</v>
      </c>
      <c r="D46" s="30">
        <f t="shared" si="14"/>
        <v>0.57446808510638292</v>
      </c>
      <c r="E46" s="2">
        <f t="shared" si="14"/>
        <v>0.57446808510638292</v>
      </c>
      <c r="F46" s="2">
        <f t="shared" si="14"/>
        <v>0.57446808510638292</v>
      </c>
      <c r="G46" s="2">
        <f t="shared" si="14"/>
        <v>0.57446808510638292</v>
      </c>
      <c r="H46" s="2">
        <f t="shared" si="14"/>
        <v>0.57446808510638292</v>
      </c>
      <c r="I46" s="2">
        <f t="shared" si="14"/>
        <v>0.57446808510638292</v>
      </c>
      <c r="J46" t="s">
        <v>3</v>
      </c>
      <c r="K46" s="21" t="str">
        <f t="shared" si="7"/>
        <v>Collector current with a 10000 Ohm input resistor and CTR of 140</v>
      </c>
      <c r="L46" s="21"/>
      <c r="M46" s="21"/>
      <c r="N46" s="21"/>
      <c r="O46" s="21"/>
      <c r="P46" s="21"/>
      <c r="Q46" s="21"/>
      <c r="R46" s="21"/>
      <c r="S46" s="21"/>
    </row>
    <row r="47" spans="1:19" x14ac:dyDescent="0.25">
      <c r="A47" s="3">
        <v>20000</v>
      </c>
      <c r="B47" s="2">
        <f t="shared" ref="B47:I47" si="15">IF(B35*$B$4&lt;$B$14,B35*$B$4,$B$14)</f>
        <v>0.13299999999999998</v>
      </c>
      <c r="C47" s="2">
        <f t="shared" si="15"/>
        <v>0.252</v>
      </c>
      <c r="D47" s="31">
        <f t="shared" si="15"/>
        <v>0.57446808510638292</v>
      </c>
      <c r="E47" s="2">
        <f t="shared" si="15"/>
        <v>0.57446808510638292</v>
      </c>
      <c r="F47" s="2">
        <f t="shared" si="15"/>
        <v>0.57446808510638292</v>
      </c>
      <c r="G47" s="2">
        <f t="shared" si="15"/>
        <v>0.57446808510638292</v>
      </c>
      <c r="H47" s="2">
        <f t="shared" si="15"/>
        <v>0.57446808510638292</v>
      </c>
      <c r="I47" s="2">
        <f t="shared" si="15"/>
        <v>0.57446808510638292</v>
      </c>
      <c r="J47" t="s">
        <v>3</v>
      </c>
      <c r="K47" s="21" t="str">
        <f t="shared" si="7"/>
        <v>Collector current with a 20000 Ohm input resistor and CTR of 140</v>
      </c>
      <c r="L47" s="21"/>
      <c r="M47" s="21"/>
      <c r="N47" s="21"/>
      <c r="O47" s="21"/>
      <c r="P47" s="21"/>
      <c r="Q47" s="21"/>
      <c r="R47" s="21"/>
      <c r="S47" s="21"/>
    </row>
    <row r="50" spans="1:19" x14ac:dyDescent="0.25">
      <c r="A50" t="s">
        <v>30</v>
      </c>
      <c r="K50" s="21"/>
      <c r="L50" s="21"/>
      <c r="M50" s="21"/>
      <c r="N50" s="21"/>
      <c r="O50" s="21"/>
      <c r="P50" s="21"/>
      <c r="Q50" s="21"/>
      <c r="R50" s="21"/>
      <c r="S50" s="21"/>
    </row>
    <row r="51" spans="1:19" x14ac:dyDescent="0.25">
      <c r="A51" s="3">
        <v>220</v>
      </c>
      <c r="B51" s="2">
        <f t="shared" ref="B51:I60" si="16">B26*B$19/1000</f>
        <v>2.8500000000000001E-2</v>
      </c>
      <c r="C51" s="2">
        <f t="shared" si="16"/>
        <v>8.1818181818181818E-2</v>
      </c>
      <c r="D51" s="2">
        <f t="shared" si="16"/>
        <v>0.57818181818181813</v>
      </c>
      <c r="E51" s="2">
        <f t="shared" si="16"/>
        <v>2.4654545454545453</v>
      </c>
      <c r="F51" s="2">
        <f t="shared" si="16"/>
        <v>10.167272727272728</v>
      </c>
      <c r="G51" s="2">
        <f t="shared" si="16"/>
        <v>44.818181818181813</v>
      </c>
      <c r="H51" s="2">
        <f t="shared" si="16"/>
        <v>218.6</v>
      </c>
      <c r="I51" s="2">
        <f t="shared" si="16"/>
        <v>1044.2181818181821</v>
      </c>
      <c r="J51" t="s">
        <v>32</v>
      </c>
      <c r="K51" s="21" t="str">
        <f t="shared" ref="K51:K60" si="17">"Power dissipation in a "&amp;$A51&amp;" Ohm input resistor"</f>
        <v>Power dissipation in a 220 Ohm input resistor</v>
      </c>
      <c r="L51" s="21"/>
      <c r="M51" s="21"/>
      <c r="N51" s="21"/>
      <c r="O51" s="21"/>
      <c r="P51" s="21"/>
      <c r="Q51" s="21"/>
      <c r="R51" s="21"/>
      <c r="S51" s="21"/>
    </row>
    <row r="52" spans="1:19" x14ac:dyDescent="0.25">
      <c r="A52" s="3">
        <v>470</v>
      </c>
      <c r="B52" s="2">
        <f t="shared" si="16"/>
        <v>1.3340425531914894E-2</v>
      </c>
      <c r="C52" s="2">
        <f t="shared" si="16"/>
        <v>3.8297872340425532E-2</v>
      </c>
      <c r="D52" s="2">
        <f t="shared" si="16"/>
        <v>0.27063829787234045</v>
      </c>
      <c r="E52" s="2">
        <f t="shared" si="16"/>
        <v>1.1540425531914895</v>
      </c>
      <c r="F52" s="2">
        <f t="shared" si="16"/>
        <v>4.7591489361702122</v>
      </c>
      <c r="G52" s="2">
        <f t="shared" si="16"/>
        <v>20.978723404255316</v>
      </c>
      <c r="H52" s="2">
        <f t="shared" si="16"/>
        <v>102.32340425531913</v>
      </c>
      <c r="I52" s="2">
        <f t="shared" si="16"/>
        <v>488.78297872340437</v>
      </c>
      <c r="J52" t="s">
        <v>32</v>
      </c>
      <c r="K52" s="21" t="str">
        <f t="shared" si="17"/>
        <v>Power dissipation in a 470 Ohm input resistor</v>
      </c>
      <c r="L52" s="21"/>
      <c r="M52" s="21"/>
      <c r="N52" s="21"/>
      <c r="O52" s="21"/>
      <c r="P52" s="21"/>
      <c r="Q52" s="21"/>
      <c r="R52" s="21"/>
      <c r="S52" s="21"/>
    </row>
    <row r="53" spans="1:19" x14ac:dyDescent="0.25">
      <c r="A53" s="3">
        <v>560</v>
      </c>
      <c r="B53" s="2">
        <f t="shared" si="16"/>
        <v>1.1196428571428571E-2</v>
      </c>
      <c r="C53" s="2">
        <f t="shared" si="16"/>
        <v>3.2142857142857147E-2</v>
      </c>
      <c r="D53" s="2">
        <f t="shared" si="16"/>
        <v>0.22714285714285712</v>
      </c>
      <c r="E53" s="2">
        <f t="shared" si="16"/>
        <v>0.96857142857142864</v>
      </c>
      <c r="F53" s="2">
        <f t="shared" si="16"/>
        <v>3.9942857142857138</v>
      </c>
      <c r="G53" s="2">
        <f t="shared" si="16"/>
        <v>17.607142857142858</v>
      </c>
      <c r="H53" s="2">
        <f t="shared" si="16"/>
        <v>85.878571428571419</v>
      </c>
      <c r="I53" s="2">
        <f t="shared" si="16"/>
        <v>410.2285714285714</v>
      </c>
      <c r="J53" t="s">
        <v>32</v>
      </c>
      <c r="K53" s="21" t="str">
        <f t="shared" si="17"/>
        <v>Power dissipation in a 560 Ohm input resistor</v>
      </c>
      <c r="L53" s="21"/>
      <c r="M53" s="21"/>
      <c r="N53" s="21"/>
      <c r="O53" s="21"/>
      <c r="P53" s="21"/>
      <c r="Q53" s="21"/>
      <c r="R53" s="21"/>
      <c r="S53" s="21"/>
    </row>
    <row r="54" spans="1:19" x14ac:dyDescent="0.25">
      <c r="A54" s="3">
        <v>680</v>
      </c>
      <c r="B54" s="2">
        <f t="shared" si="16"/>
        <v>9.2205882352941158E-3</v>
      </c>
      <c r="C54" s="2">
        <f t="shared" si="16"/>
        <v>2.6470588235294117E-2</v>
      </c>
      <c r="D54" s="2">
        <f t="shared" si="16"/>
        <v>0.18705882352941175</v>
      </c>
      <c r="E54" s="2">
        <f t="shared" si="16"/>
        <v>0.79764705882352949</v>
      </c>
      <c r="F54" s="2">
        <f t="shared" si="16"/>
        <v>3.2894117647058825</v>
      </c>
      <c r="G54" s="2">
        <f t="shared" si="16"/>
        <v>14.5</v>
      </c>
      <c r="H54" s="2">
        <f t="shared" si="16"/>
        <v>70.723529411764716</v>
      </c>
      <c r="I54" s="2">
        <f t="shared" si="16"/>
        <v>337.83529411764709</v>
      </c>
      <c r="J54" t="s">
        <v>32</v>
      </c>
      <c r="K54" s="21" t="str">
        <f t="shared" si="17"/>
        <v>Power dissipation in a 680 Ohm input resistor</v>
      </c>
      <c r="L54" s="21"/>
      <c r="M54" s="21"/>
      <c r="N54" s="21"/>
      <c r="O54" s="21"/>
      <c r="P54" s="21"/>
      <c r="Q54" s="21"/>
      <c r="R54" s="21"/>
      <c r="S54" s="21"/>
    </row>
    <row r="55" spans="1:19" x14ac:dyDescent="0.25">
      <c r="A55" s="3">
        <v>1000</v>
      </c>
      <c r="B55" s="2">
        <f t="shared" si="16"/>
        <v>6.2699999999999995E-3</v>
      </c>
      <c r="C55" s="2">
        <f t="shared" si="16"/>
        <v>1.7999999999999999E-2</v>
      </c>
      <c r="D55" s="2">
        <f t="shared" si="16"/>
        <v>0.12719999999999998</v>
      </c>
      <c r="E55" s="2">
        <f t="shared" si="16"/>
        <v>0.5424000000000001</v>
      </c>
      <c r="F55" s="2">
        <f t="shared" si="16"/>
        <v>2.2368000000000001</v>
      </c>
      <c r="G55" s="2">
        <f t="shared" si="16"/>
        <v>9.86</v>
      </c>
      <c r="H55" s="2">
        <f t="shared" si="16"/>
        <v>48.091999999999999</v>
      </c>
      <c r="I55" s="2">
        <f t="shared" si="16"/>
        <v>229.72800000000001</v>
      </c>
      <c r="J55" t="s">
        <v>32</v>
      </c>
      <c r="K55" s="21" t="str">
        <f t="shared" si="17"/>
        <v>Power dissipation in a 1000 Ohm input resistor</v>
      </c>
      <c r="L55" s="21"/>
      <c r="M55" s="21"/>
      <c r="N55" s="21"/>
      <c r="O55" s="21"/>
      <c r="P55" s="21"/>
      <c r="Q55" s="21"/>
      <c r="R55" s="21"/>
      <c r="S55" s="21"/>
    </row>
    <row r="56" spans="1:19" x14ac:dyDescent="0.25">
      <c r="A56" s="3">
        <v>2200</v>
      </c>
      <c r="B56" s="2">
        <f t="shared" si="16"/>
        <v>2.8500000000000001E-3</v>
      </c>
      <c r="C56" s="2">
        <f t="shared" si="16"/>
        <v>8.1818181818181825E-3</v>
      </c>
      <c r="D56" s="2">
        <f t="shared" si="16"/>
        <v>5.781818181818181E-2</v>
      </c>
      <c r="E56" s="2">
        <f t="shared" si="16"/>
        <v>0.24654545454545457</v>
      </c>
      <c r="F56" s="2">
        <f t="shared" si="16"/>
        <v>1.0167272727272727</v>
      </c>
      <c r="G56" s="2">
        <f t="shared" si="16"/>
        <v>4.4818181818181815</v>
      </c>
      <c r="H56" s="2">
        <f t="shared" si="16"/>
        <v>21.86</v>
      </c>
      <c r="I56" s="2">
        <f t="shared" si="16"/>
        <v>104.4218181818182</v>
      </c>
      <c r="J56" t="s">
        <v>32</v>
      </c>
      <c r="K56" s="21" t="str">
        <f t="shared" si="17"/>
        <v>Power dissipation in a 2200 Ohm input resistor</v>
      </c>
      <c r="L56" s="21"/>
      <c r="M56" s="21"/>
      <c r="N56" s="21"/>
      <c r="O56" s="21"/>
      <c r="P56" s="21"/>
      <c r="Q56" s="21"/>
      <c r="R56" s="21"/>
      <c r="S56" s="21"/>
    </row>
    <row r="57" spans="1:19" x14ac:dyDescent="0.25">
      <c r="A57" s="3">
        <v>3300</v>
      </c>
      <c r="B57" s="2">
        <f t="shared" si="16"/>
        <v>1.3340425531914893E-3</v>
      </c>
      <c r="C57" s="2">
        <f t="shared" si="16"/>
        <v>3.8297872340425539E-3</v>
      </c>
      <c r="D57" s="2">
        <f t="shared" si="16"/>
        <v>2.7063829787234043E-2</v>
      </c>
      <c r="E57" s="2">
        <f t="shared" si="16"/>
        <v>0.11540425531914894</v>
      </c>
      <c r="F57" s="2">
        <f t="shared" si="16"/>
        <v>0.47591489361702133</v>
      </c>
      <c r="G57" s="2">
        <f t="shared" si="16"/>
        <v>2.0978723404255319</v>
      </c>
      <c r="H57" s="2">
        <f t="shared" si="16"/>
        <v>10.232340425531914</v>
      </c>
      <c r="I57" s="2">
        <f t="shared" si="16"/>
        <v>48.878297872340426</v>
      </c>
      <c r="J57" t="s">
        <v>32</v>
      </c>
      <c r="K57" s="21" t="str">
        <f t="shared" si="17"/>
        <v>Power dissipation in a 3300 Ohm input resistor</v>
      </c>
      <c r="L57" s="21"/>
      <c r="M57" s="21"/>
      <c r="N57" s="21"/>
      <c r="O57" s="21"/>
      <c r="P57" s="21"/>
      <c r="Q57" s="21"/>
      <c r="R57" s="21"/>
      <c r="S57" s="21"/>
    </row>
    <row r="58" spans="1:19" s="25" customFormat="1" x14ac:dyDescent="0.25">
      <c r="A58" s="36">
        <v>4700</v>
      </c>
      <c r="B58" s="33">
        <f t="shared" si="16"/>
        <v>9.2205882352941167E-4</v>
      </c>
      <c r="C58" s="33">
        <f t="shared" si="16"/>
        <v>2.6470588235294121E-3</v>
      </c>
      <c r="D58" s="33">
        <f t="shared" si="16"/>
        <v>1.8705882352941176E-2</v>
      </c>
      <c r="E58" s="33">
        <f t="shared" si="16"/>
        <v>7.9764705882352946E-2</v>
      </c>
      <c r="F58" s="33">
        <f t="shared" si="16"/>
        <v>0.32894117647058829</v>
      </c>
      <c r="G58" s="33">
        <f t="shared" si="16"/>
        <v>1.4499999999999997</v>
      </c>
      <c r="H58" s="33">
        <f t="shared" si="16"/>
        <v>7.0723529411764714</v>
      </c>
      <c r="I58" s="35">
        <f t="shared" si="16"/>
        <v>33.783529411764704</v>
      </c>
      <c r="J58" s="25" t="s">
        <v>32</v>
      </c>
      <c r="K58" s="26" t="str">
        <f t="shared" si="17"/>
        <v>Power dissipation in a 4700 Ohm input resistor</v>
      </c>
      <c r="L58" s="26"/>
      <c r="M58" s="26"/>
      <c r="N58" s="26"/>
      <c r="O58" s="26"/>
      <c r="P58" s="26"/>
      <c r="Q58" s="26"/>
      <c r="R58" s="26"/>
      <c r="S58" s="26"/>
    </row>
    <row r="59" spans="1:19" x14ac:dyDescent="0.25">
      <c r="A59" s="3">
        <v>6800</v>
      </c>
      <c r="B59" s="2">
        <f t="shared" si="16"/>
        <v>6.2699999999999984E-4</v>
      </c>
      <c r="C59" s="2">
        <f t="shared" si="16"/>
        <v>1.8000000000000002E-3</v>
      </c>
      <c r="D59" s="2">
        <f t="shared" si="16"/>
        <v>1.272E-2</v>
      </c>
      <c r="E59" s="2">
        <f t="shared" si="16"/>
        <v>5.424000000000001E-2</v>
      </c>
      <c r="F59" s="2">
        <f t="shared" si="16"/>
        <v>0.22368000000000002</v>
      </c>
      <c r="G59" s="2">
        <f t="shared" si="16"/>
        <v>0.98599999999999999</v>
      </c>
      <c r="H59" s="2">
        <f t="shared" si="16"/>
        <v>4.8091999999999997</v>
      </c>
      <c r="I59" s="2">
        <f t="shared" si="16"/>
        <v>22.972799999999999</v>
      </c>
      <c r="J59" t="s">
        <v>32</v>
      </c>
      <c r="K59" s="21" t="str">
        <f t="shared" si="17"/>
        <v>Power dissipation in a 6800 Ohm input resistor</v>
      </c>
      <c r="L59" s="21"/>
      <c r="M59" s="21"/>
      <c r="N59" s="21"/>
      <c r="O59" s="21"/>
      <c r="P59" s="21"/>
      <c r="Q59" s="21"/>
      <c r="R59" s="21"/>
      <c r="S59" s="21"/>
    </row>
    <row r="60" spans="1:19" x14ac:dyDescent="0.25">
      <c r="A60" s="3">
        <v>10000</v>
      </c>
      <c r="B60" s="2">
        <f t="shared" si="16"/>
        <v>3.1349999999999992E-4</v>
      </c>
      <c r="C60" s="2">
        <f t="shared" si="16"/>
        <v>9.0000000000000008E-4</v>
      </c>
      <c r="D60" s="2">
        <f t="shared" si="16"/>
        <v>6.3600000000000002E-3</v>
      </c>
      <c r="E60" s="2">
        <f t="shared" si="16"/>
        <v>2.7120000000000005E-2</v>
      </c>
      <c r="F60" s="2">
        <f t="shared" si="16"/>
        <v>0.11184000000000001</v>
      </c>
      <c r="G60" s="2">
        <f t="shared" si="16"/>
        <v>0.49299999999999999</v>
      </c>
      <c r="H60" s="2">
        <f t="shared" si="16"/>
        <v>2.4045999999999998</v>
      </c>
      <c r="I60" s="2">
        <f t="shared" si="16"/>
        <v>11.4864</v>
      </c>
      <c r="J60" t="s">
        <v>32</v>
      </c>
      <c r="K60" s="21" t="str">
        <f t="shared" si="17"/>
        <v>Power dissipation in a 10000 Ohm input resistor</v>
      </c>
      <c r="L60" s="21"/>
      <c r="M60" s="21"/>
      <c r="N60" s="21"/>
      <c r="O60" s="21"/>
      <c r="P60" s="21"/>
      <c r="Q60" s="21"/>
      <c r="R60" s="21"/>
      <c r="S60" s="21"/>
    </row>
  </sheetData>
  <mergeCells count="43">
    <mergeCell ref="K59:S59"/>
    <mergeCell ref="K60:S60"/>
    <mergeCell ref="K43:S43"/>
    <mergeCell ref="K44:S44"/>
    <mergeCell ref="K45:S45"/>
    <mergeCell ref="K46:S46"/>
    <mergeCell ref="K47:S47"/>
    <mergeCell ref="K56:S56"/>
    <mergeCell ref="K57:S57"/>
    <mergeCell ref="K58:S58"/>
    <mergeCell ref="K55:S55"/>
    <mergeCell ref="K53:S53"/>
    <mergeCell ref="K54:S54"/>
    <mergeCell ref="K35:S35"/>
    <mergeCell ref="K50:S50"/>
    <mergeCell ref="K51:S51"/>
    <mergeCell ref="K52:S52"/>
    <mergeCell ref="K38:S38"/>
    <mergeCell ref="K39:S39"/>
    <mergeCell ref="K40:S40"/>
    <mergeCell ref="K41:S41"/>
    <mergeCell ref="K42:S42"/>
    <mergeCell ref="K19:S19"/>
    <mergeCell ref="K21:S21"/>
    <mergeCell ref="K22:S22"/>
    <mergeCell ref="K23:S23"/>
    <mergeCell ref="K34:S34"/>
    <mergeCell ref="K24:S24"/>
    <mergeCell ref="K25:S25"/>
    <mergeCell ref="K26:S26"/>
    <mergeCell ref="K27:S27"/>
    <mergeCell ref="K33:S33"/>
    <mergeCell ref="K28:S28"/>
    <mergeCell ref="K29:S29"/>
    <mergeCell ref="K30:S30"/>
    <mergeCell ref="K31:S31"/>
    <mergeCell ref="K32:S32"/>
    <mergeCell ref="D11:L11"/>
    <mergeCell ref="D12:L12"/>
    <mergeCell ref="D13:L13"/>
    <mergeCell ref="D14:L14"/>
    <mergeCell ref="B18:F18"/>
    <mergeCell ref="K18:S18"/>
  </mergeCells>
  <conditionalFormatting sqref="B26:I35">
    <cfRule type="expression" dxfId="5" priority="1">
      <formula>B26&gt;$B$5</formula>
    </cfRule>
    <cfRule type="expression" dxfId="4" priority="21">
      <formula>B26&lt;$B$16</formula>
    </cfRule>
  </conditionalFormatting>
  <conditionalFormatting sqref="B38:I47">
    <cfRule type="expression" dxfId="1" priority="2">
      <formula>B38&lt;$B$14</formula>
    </cfRule>
    <cfRule type="expression" dxfId="0" priority="4">
      <formula>B38&gt;=$B$14</formula>
    </cfRule>
  </conditionalFormatting>
  <conditionalFormatting sqref="B51:I60">
    <cfRule type="expression" dxfId="3" priority="19">
      <formula>B51&gt;$B$8</formula>
    </cfRule>
    <cfRule type="expression" dxfId="2" priority="20">
      <formula>B51&lt;=$B$8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0A16-39BE-4AE5-8AED-15A99E86DBCD}">
  <dimension ref="A1:I8"/>
  <sheetViews>
    <sheetView workbookViewId="0">
      <selection activeCell="H3" sqref="H3"/>
    </sheetView>
  </sheetViews>
  <sheetFormatPr defaultRowHeight="15" x14ac:dyDescent="0.25"/>
  <cols>
    <col min="3" max="3" width="9.5703125" bestFit="1" customWidth="1"/>
    <col min="4" max="4" width="9.5703125" customWidth="1"/>
  </cols>
  <sheetData>
    <row r="1" spans="1:9" x14ac:dyDescent="0.25">
      <c r="A1" t="s">
        <v>46</v>
      </c>
      <c r="B1">
        <v>3.1</v>
      </c>
      <c r="I1" t="s">
        <v>5</v>
      </c>
    </row>
    <row r="2" spans="1:9" x14ac:dyDescent="0.25">
      <c r="A2" t="s">
        <v>15</v>
      </c>
      <c r="B2">
        <v>3.3</v>
      </c>
      <c r="C2">
        <v>5</v>
      </c>
      <c r="D2">
        <v>8</v>
      </c>
      <c r="E2">
        <v>12</v>
      </c>
      <c r="F2">
        <v>13.8</v>
      </c>
      <c r="G2">
        <v>24</v>
      </c>
      <c r="H2">
        <v>48</v>
      </c>
      <c r="I2" t="s">
        <v>5</v>
      </c>
    </row>
    <row r="3" spans="1:9" x14ac:dyDescent="0.25">
      <c r="A3" t="s">
        <v>44</v>
      </c>
      <c r="B3">
        <v>8200</v>
      </c>
      <c r="C3">
        <v>8200</v>
      </c>
      <c r="D3">
        <v>15000</v>
      </c>
      <c r="E3">
        <v>27000</v>
      </c>
      <c r="F3">
        <v>33000</v>
      </c>
      <c r="G3">
        <v>62000</v>
      </c>
      <c r="H3">
        <v>330000</v>
      </c>
      <c r="I3" t="s">
        <v>4</v>
      </c>
    </row>
    <row r="4" spans="1:9" x14ac:dyDescent="0.25">
      <c r="A4" t="s">
        <v>45</v>
      </c>
      <c r="B4">
        <v>10000</v>
      </c>
      <c r="C4">
        <v>10000</v>
      </c>
      <c r="D4">
        <v>10000</v>
      </c>
      <c r="E4">
        <v>10000</v>
      </c>
      <c r="F4">
        <v>10000</v>
      </c>
      <c r="G4">
        <v>10000</v>
      </c>
      <c r="H4">
        <v>20000</v>
      </c>
      <c r="I4" t="s">
        <v>4</v>
      </c>
    </row>
    <row r="5" spans="1:9" x14ac:dyDescent="0.25">
      <c r="A5" t="s">
        <v>46</v>
      </c>
      <c r="B5" s="2">
        <f>B2*B4/(B4+B3)</f>
        <v>1.8131868131868132</v>
      </c>
      <c r="C5" s="2">
        <f t="shared" ref="C5:H5" si="0">C2*C4/(C4+C3)</f>
        <v>2.7472527472527473</v>
      </c>
      <c r="D5" s="2">
        <f t="shared" ref="D5" si="1">D2*D4/(D4+D3)</f>
        <v>3.2</v>
      </c>
      <c r="E5" s="2">
        <f t="shared" si="0"/>
        <v>3.2432432432432434</v>
      </c>
      <c r="F5" s="2">
        <f t="shared" ref="F5" si="2">F2*F4/(F4+F3)</f>
        <v>3.2093023255813953</v>
      </c>
      <c r="G5" s="2">
        <f t="shared" si="0"/>
        <v>3.3333333333333335</v>
      </c>
      <c r="H5" s="2">
        <f t="shared" si="0"/>
        <v>2.7428571428571429</v>
      </c>
      <c r="I5" t="s">
        <v>5</v>
      </c>
    </row>
    <row r="6" spans="1:9" x14ac:dyDescent="0.25">
      <c r="A6" t="s">
        <v>47</v>
      </c>
      <c r="B6" s="2">
        <f t="shared" ref="B6" si="3">B2/(B3+B4)*1000</f>
        <v>0.18131868131868129</v>
      </c>
      <c r="C6" s="2">
        <f>C2/(C3+C4)*1000</f>
        <v>0.27472527472527475</v>
      </c>
      <c r="D6" s="2">
        <f>D2/(D3+D4)*1000</f>
        <v>0.32</v>
      </c>
      <c r="E6" s="2">
        <f t="shared" ref="E6:H6" si="4">E2/(E3+E4)*1000</f>
        <v>0.32432432432432429</v>
      </c>
      <c r="F6" s="2">
        <f t="shared" ref="F6" si="5">F2/(F3+F4)*1000</f>
        <v>0.32093023255813957</v>
      </c>
      <c r="G6" s="2">
        <f t="shared" si="4"/>
        <v>0.33333333333333331</v>
      </c>
      <c r="H6" s="2">
        <f t="shared" si="4"/>
        <v>0.13714285714285712</v>
      </c>
      <c r="I6" t="s">
        <v>3</v>
      </c>
    </row>
    <row r="7" spans="1:9" x14ac:dyDescent="0.25">
      <c r="A7" t="s">
        <v>48</v>
      </c>
      <c r="B7" s="9">
        <f t="shared" ref="B7" si="6">B$6^2*B3*10^-3</f>
        <v>0.26958700640019317</v>
      </c>
      <c r="C7" s="9">
        <f>C$6^2*C3*10^-3</f>
        <v>0.61888660789759709</v>
      </c>
      <c r="D7" s="9">
        <f>D$6^2*D3*10^-3</f>
        <v>1.536</v>
      </c>
      <c r="E7" s="9">
        <f t="shared" ref="E7:H7" si="7">E$6^2*E3*10^-3</f>
        <v>2.8400292184075964</v>
      </c>
      <c r="F7" s="9">
        <f t="shared" ref="F7" si="8">F$6^2*F3*10^-3</f>
        <v>3.3988750676041111</v>
      </c>
      <c r="G7" s="9">
        <f t="shared" si="7"/>
        <v>6.8888888888888884</v>
      </c>
      <c r="H7" s="9">
        <f t="shared" si="7"/>
        <v>6.206693877551019</v>
      </c>
      <c r="I7" t="s">
        <v>31</v>
      </c>
    </row>
    <row r="8" spans="1:9" x14ac:dyDescent="0.25">
      <c r="A8" t="s">
        <v>49</v>
      </c>
      <c r="B8" s="9">
        <f t="shared" ref="B8" si="9">B$6^2*B4*10^-3</f>
        <v>0.32876464195145511</v>
      </c>
      <c r="C8" s="9">
        <f>C$6^2*C4*10^-3</f>
        <v>0.75473976572877688</v>
      </c>
      <c r="D8" s="9">
        <f>D$6^2*D4*10^-3</f>
        <v>1.024</v>
      </c>
      <c r="E8" s="9">
        <f t="shared" ref="E8:H8" si="10">E$6^2*E4*10^-3</f>
        <v>1.0518626734842949</v>
      </c>
      <c r="F8" s="9">
        <f t="shared" ref="F8" si="11">F$6^2*F4*10^-3</f>
        <v>1.0299621416982154</v>
      </c>
      <c r="G8" s="9">
        <f t="shared" si="10"/>
        <v>1.1111111111111112</v>
      </c>
      <c r="H8" s="9">
        <f t="shared" si="10"/>
        <v>0.37616326530612237</v>
      </c>
      <c r="I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2981-FB99-4C9E-8030-6049DDD951AC}">
  <dimension ref="A1:H14"/>
  <sheetViews>
    <sheetView tabSelected="1" workbookViewId="0">
      <selection activeCell="N48" sqref="N48"/>
    </sheetView>
  </sheetViews>
  <sheetFormatPr defaultRowHeight="15" x14ac:dyDescent="0.25"/>
  <cols>
    <col min="5" max="6" width="0" hidden="1" customWidth="1"/>
  </cols>
  <sheetData>
    <row r="1" spans="1:8" x14ac:dyDescent="0.25">
      <c r="A1" t="s">
        <v>54</v>
      </c>
      <c r="B1">
        <v>20</v>
      </c>
      <c r="C1" t="s">
        <v>55</v>
      </c>
      <c r="E1">
        <f>$B$1/1000</f>
        <v>0.02</v>
      </c>
      <c r="F1" t="s">
        <v>65</v>
      </c>
      <c r="H1" s="11"/>
    </row>
    <row r="2" spans="1:8" x14ac:dyDescent="0.25">
      <c r="A2" s="12" t="s">
        <v>58</v>
      </c>
      <c r="B2" s="12">
        <v>1</v>
      </c>
      <c r="C2" s="12" t="s">
        <v>59</v>
      </c>
      <c r="E2">
        <f>$B$2/1000000</f>
        <v>9.9999999999999995E-7</v>
      </c>
      <c r="F2" t="s">
        <v>66</v>
      </c>
    </row>
    <row r="3" spans="1:8" x14ac:dyDescent="0.25">
      <c r="A3" t="s">
        <v>64</v>
      </c>
    </row>
    <row r="4" spans="1:8" x14ac:dyDescent="0.25">
      <c r="A4" t="s">
        <v>56</v>
      </c>
      <c r="B4">
        <v>2</v>
      </c>
      <c r="C4" t="s">
        <v>50</v>
      </c>
    </row>
    <row r="5" spans="1:8" x14ac:dyDescent="0.25">
      <c r="A5" t="s">
        <v>60</v>
      </c>
      <c r="B5" s="4">
        <v>3.3</v>
      </c>
      <c r="C5" t="s">
        <v>50</v>
      </c>
    </row>
    <row r="6" spans="1:8" x14ac:dyDescent="0.25">
      <c r="A6" s="12" t="s">
        <v>61</v>
      </c>
      <c r="B6" s="14">
        <f>-E1/E2*LN(B4/B5)/1000</f>
        <v>10.015505758249784</v>
      </c>
      <c r="C6" s="12" t="s">
        <v>51</v>
      </c>
    </row>
    <row r="7" spans="1:8" x14ac:dyDescent="0.25">
      <c r="A7" t="s">
        <v>63</v>
      </c>
    </row>
    <row r="8" spans="1:8" x14ac:dyDescent="0.25">
      <c r="A8" t="s">
        <v>56</v>
      </c>
      <c r="B8">
        <v>0.9</v>
      </c>
      <c r="C8" t="s">
        <v>50</v>
      </c>
    </row>
    <row r="9" spans="1:8" x14ac:dyDescent="0.25">
      <c r="A9" t="s">
        <v>57</v>
      </c>
      <c r="B9">
        <f>B5-0.7</f>
        <v>2.5999999999999996</v>
      </c>
      <c r="C9" t="s">
        <v>50</v>
      </c>
    </row>
    <row r="10" spans="1:8" x14ac:dyDescent="0.25">
      <c r="A10" t="s">
        <v>42</v>
      </c>
      <c r="B10" s="5">
        <f>-E1/(E2*LN(1-B8/B9))/1000</f>
        <v>47.071760625191935</v>
      </c>
      <c r="C10" t="s">
        <v>51</v>
      </c>
    </row>
    <row r="11" spans="1:8" x14ac:dyDescent="0.25">
      <c r="A11" s="12" t="s">
        <v>62</v>
      </c>
      <c r="B11" s="13">
        <f>B10-B6</f>
        <v>37.056254866942155</v>
      </c>
      <c r="C11" s="12" t="s">
        <v>51</v>
      </c>
    </row>
    <row r="14" spans="1:8" x14ac:dyDescent="0.25">
      <c r="A14" s="10" t="s">
        <v>53</v>
      </c>
    </row>
  </sheetData>
  <hyperlinks>
    <hyperlink ref="A14" r:id="rId1" display="https://my.eng.utah.edu/~cs5780/debouncing.pdf" xr:uid="{5235A5F5-4942-4CA2-9758-A903A293EFF6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EBD6-FDED-4482-9B84-463628030229}">
  <dimension ref="A2:N22"/>
  <sheetViews>
    <sheetView workbookViewId="0">
      <selection activeCell="E16" sqref="E16"/>
    </sheetView>
  </sheetViews>
  <sheetFormatPr defaultRowHeight="15" x14ac:dyDescent="0.25"/>
  <cols>
    <col min="2" max="2" width="14.28515625" bestFit="1" customWidth="1"/>
    <col min="10" max="10" width="36.85546875" customWidth="1"/>
  </cols>
  <sheetData>
    <row r="2" spans="1:14" x14ac:dyDescent="0.25">
      <c r="A2" s="1" t="s">
        <v>75</v>
      </c>
    </row>
    <row r="3" spans="1:14" x14ac:dyDescent="0.25">
      <c r="A3" t="s">
        <v>43</v>
      </c>
      <c r="B3" s="15">
        <v>4.9000000000000004</v>
      </c>
      <c r="C3" s="15">
        <v>5</v>
      </c>
      <c r="D3" s="40">
        <v>5.2</v>
      </c>
      <c r="E3" s="15">
        <v>8.6</v>
      </c>
      <c r="F3" s="15">
        <v>3</v>
      </c>
      <c r="G3" s="15">
        <v>3.3</v>
      </c>
      <c r="H3" s="15">
        <v>3.5</v>
      </c>
      <c r="I3" t="s">
        <v>68</v>
      </c>
      <c r="N3" s="10" t="s">
        <v>69</v>
      </c>
    </row>
    <row r="4" spans="1:14" x14ac:dyDescent="0.25">
      <c r="A4" t="s">
        <v>61</v>
      </c>
      <c r="B4" s="15">
        <v>39</v>
      </c>
      <c r="C4" s="15">
        <v>39</v>
      </c>
      <c r="D4" s="41">
        <v>39</v>
      </c>
      <c r="E4" s="15">
        <v>42</v>
      </c>
      <c r="F4" s="15">
        <v>39</v>
      </c>
      <c r="G4" s="15">
        <v>39</v>
      </c>
      <c r="H4" s="15">
        <v>39</v>
      </c>
      <c r="I4" t="s">
        <v>70</v>
      </c>
      <c r="N4" s="10" t="s">
        <v>74</v>
      </c>
    </row>
    <row r="5" spans="1:14" x14ac:dyDescent="0.25">
      <c r="A5" s="16" t="s">
        <v>62</v>
      </c>
      <c r="B5" s="17">
        <f>B4/((B3/0.791)-1)</f>
        <v>7.5076660988074959</v>
      </c>
      <c r="C5" s="17">
        <f t="shared" ref="C5:H5" si="0">C4/((C3/0.791)-1)</f>
        <v>7.3292943692088386</v>
      </c>
      <c r="D5" s="42">
        <f t="shared" si="0"/>
        <v>6.99682467679746</v>
      </c>
      <c r="E5" s="17">
        <f t="shared" ref="E5" si="1">E4/((E3/0.791)-1)</f>
        <v>4.2543219362274307</v>
      </c>
      <c r="F5" s="17">
        <f t="shared" si="0"/>
        <v>13.965142598460842</v>
      </c>
      <c r="G5" s="17">
        <f t="shared" si="0"/>
        <v>12.295336787564768</v>
      </c>
      <c r="H5" s="17">
        <f t="shared" si="0"/>
        <v>11.387596899224807</v>
      </c>
      <c r="I5" s="16" t="s">
        <v>70</v>
      </c>
      <c r="J5" t="s">
        <v>71</v>
      </c>
    </row>
    <row r="6" spans="1:14" x14ac:dyDescent="0.25">
      <c r="D6" s="43"/>
    </row>
    <row r="7" spans="1:14" x14ac:dyDescent="0.25">
      <c r="D7" s="43"/>
    </row>
    <row r="8" spans="1:14" x14ac:dyDescent="0.25">
      <c r="A8" t="s">
        <v>61</v>
      </c>
      <c r="B8" s="15">
        <f t="shared" ref="B8:H9" si="2">VLOOKUP(B4,Resistors_1percent,1,TRUE)</f>
        <v>39</v>
      </c>
      <c r="C8" s="15">
        <f t="shared" si="2"/>
        <v>39</v>
      </c>
      <c r="D8" s="41">
        <f t="shared" si="2"/>
        <v>39</v>
      </c>
      <c r="E8" s="15">
        <v>39</v>
      </c>
      <c r="F8" s="15">
        <f t="shared" si="2"/>
        <v>39</v>
      </c>
      <c r="G8" s="15">
        <f t="shared" si="2"/>
        <v>39</v>
      </c>
      <c r="H8" s="15">
        <f t="shared" si="2"/>
        <v>39</v>
      </c>
      <c r="I8" t="s">
        <v>70</v>
      </c>
    </row>
    <row r="9" spans="1:14" x14ac:dyDescent="0.25">
      <c r="A9" t="s">
        <v>62</v>
      </c>
      <c r="B9" s="15">
        <f t="shared" si="2"/>
        <v>7.5</v>
      </c>
      <c r="C9" s="15">
        <f t="shared" si="2"/>
        <v>6.8</v>
      </c>
      <c r="D9" s="41">
        <f t="shared" si="2"/>
        <v>6.8</v>
      </c>
      <c r="E9" s="15">
        <v>10</v>
      </c>
      <c r="F9" s="15">
        <f t="shared" si="2"/>
        <v>12</v>
      </c>
      <c r="G9" s="15">
        <f t="shared" si="2"/>
        <v>12</v>
      </c>
      <c r="H9" s="15">
        <f t="shared" si="2"/>
        <v>11</v>
      </c>
      <c r="I9" t="s">
        <v>70</v>
      </c>
    </row>
    <row r="10" spans="1:14" x14ac:dyDescent="0.25">
      <c r="A10" s="18" t="s">
        <v>43</v>
      </c>
      <c r="B10" s="19">
        <f>(1+B8/B9)*0.791</f>
        <v>4.9042000000000003</v>
      </c>
      <c r="C10" s="19">
        <f t="shared" ref="C10:H10" si="3">(1+C8/C9)*0.791</f>
        <v>5.3276176470588235</v>
      </c>
      <c r="D10" s="44">
        <f t="shared" si="3"/>
        <v>5.3276176470588235</v>
      </c>
      <c r="E10" s="19">
        <f t="shared" ref="E10" si="4">(1+E8/E9)*0.791</f>
        <v>3.8759000000000006</v>
      </c>
      <c r="F10" s="19">
        <f t="shared" si="3"/>
        <v>3.3617500000000002</v>
      </c>
      <c r="G10" s="19">
        <f t="shared" si="3"/>
        <v>3.3617500000000002</v>
      </c>
      <c r="H10" s="19">
        <f t="shared" si="3"/>
        <v>3.5954545454545452</v>
      </c>
      <c r="I10" s="18" t="s">
        <v>68</v>
      </c>
      <c r="J10" t="s">
        <v>72</v>
      </c>
    </row>
    <row r="14" spans="1:14" x14ac:dyDescent="0.25">
      <c r="A14" s="1" t="s">
        <v>82</v>
      </c>
    </row>
    <row r="15" spans="1:14" x14ac:dyDescent="0.25">
      <c r="A15" t="s">
        <v>76</v>
      </c>
      <c r="B15">
        <v>4.7</v>
      </c>
      <c r="C15" s="11" t="s">
        <v>77</v>
      </c>
      <c r="J15" t="s">
        <v>79</v>
      </c>
    </row>
    <row r="16" spans="1:14" x14ac:dyDescent="0.25">
      <c r="A16" t="s">
        <v>58</v>
      </c>
      <c r="B16">
        <v>44</v>
      </c>
      <c r="C16" t="s">
        <v>59</v>
      </c>
      <c r="J16" t="s">
        <v>80</v>
      </c>
    </row>
    <row r="17" spans="1:10" x14ac:dyDescent="0.25">
      <c r="A17" t="s">
        <v>78</v>
      </c>
      <c r="B17" s="4">
        <f>1/(B16*B15*0.000001)^2/1000</f>
        <v>23382.93008690967</v>
      </c>
      <c r="C17" t="s">
        <v>67</v>
      </c>
      <c r="J17" t="s">
        <v>81</v>
      </c>
    </row>
    <row r="19" spans="1:10" x14ac:dyDescent="0.25">
      <c r="A19" s="1" t="s">
        <v>83</v>
      </c>
    </row>
    <row r="20" spans="1:10" x14ac:dyDescent="0.25">
      <c r="A20" t="s">
        <v>76</v>
      </c>
      <c r="B20">
        <v>22</v>
      </c>
      <c r="C20" s="11" t="s">
        <v>77</v>
      </c>
      <c r="J20" t="s">
        <v>79</v>
      </c>
    </row>
    <row r="21" spans="1:10" x14ac:dyDescent="0.25">
      <c r="A21" t="s">
        <v>58</v>
      </c>
      <c r="B21">
        <v>88</v>
      </c>
      <c r="C21" t="s">
        <v>59</v>
      </c>
      <c r="J21" t="s">
        <v>80</v>
      </c>
    </row>
    <row r="22" spans="1:10" x14ac:dyDescent="0.25">
      <c r="A22" t="s">
        <v>78</v>
      </c>
      <c r="B22" s="4">
        <f>1/(B21*B20*0.000001)^2/1000</f>
        <v>266.80213100198074</v>
      </c>
      <c r="C22" t="s">
        <v>52</v>
      </c>
      <c r="J22" t="s">
        <v>81</v>
      </c>
    </row>
  </sheetData>
  <hyperlinks>
    <hyperlink ref="N3" r:id="rId1" xr:uid="{1A637034-4545-4039-A06F-E06A5A552C08}"/>
    <hyperlink ref="N4" r:id="rId2" display="http://ridleyengineering.com/images/phocadownload/1 second stage filter design.pdf" xr:uid="{559ACDC9-390D-4A61-AC3D-0DA626FB6FAC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418D-9FB2-42AF-BBB8-7156003F3B29}">
  <dimension ref="A1:A170"/>
  <sheetViews>
    <sheetView workbookViewId="0">
      <selection sqref="A1:A170"/>
    </sheetView>
  </sheetViews>
  <sheetFormatPr defaultRowHeight="15" x14ac:dyDescent="0.25"/>
  <sheetData>
    <row r="1" spans="1:1" x14ac:dyDescent="0.25">
      <c r="A1" t="s">
        <v>73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1.1000000000000001</v>
      </c>
    </row>
    <row r="5" spans="1:1" x14ac:dyDescent="0.25">
      <c r="A5">
        <v>1.2</v>
      </c>
    </row>
    <row r="6" spans="1:1" x14ac:dyDescent="0.25">
      <c r="A6">
        <v>1.2</v>
      </c>
    </row>
    <row r="7" spans="1:1" x14ac:dyDescent="0.25">
      <c r="A7">
        <v>1.5</v>
      </c>
    </row>
    <row r="8" spans="1:1" x14ac:dyDescent="0.25">
      <c r="A8">
        <v>1.6</v>
      </c>
    </row>
    <row r="9" spans="1:1" x14ac:dyDescent="0.25">
      <c r="A9">
        <v>1.8</v>
      </c>
    </row>
    <row r="10" spans="1:1" x14ac:dyDescent="0.25">
      <c r="A10">
        <v>2</v>
      </c>
    </row>
    <row r="11" spans="1:1" x14ac:dyDescent="0.25">
      <c r="A11">
        <v>2.2000000000000002</v>
      </c>
    </row>
    <row r="12" spans="1:1" x14ac:dyDescent="0.25">
      <c r="A12">
        <v>2.4</v>
      </c>
    </row>
    <row r="13" spans="1:1" x14ac:dyDescent="0.25">
      <c r="A13">
        <v>2.7</v>
      </c>
    </row>
    <row r="14" spans="1:1" x14ac:dyDescent="0.25">
      <c r="A14">
        <v>3</v>
      </c>
    </row>
    <row r="15" spans="1:1" x14ac:dyDescent="0.25">
      <c r="A15">
        <v>3.3</v>
      </c>
    </row>
    <row r="16" spans="1:1" x14ac:dyDescent="0.25">
      <c r="A16">
        <v>3.6</v>
      </c>
    </row>
    <row r="17" spans="1:1" x14ac:dyDescent="0.25">
      <c r="A17">
        <v>3.9</v>
      </c>
    </row>
    <row r="18" spans="1:1" x14ac:dyDescent="0.25">
      <c r="A18">
        <v>4.3</v>
      </c>
    </row>
    <row r="19" spans="1:1" x14ac:dyDescent="0.25">
      <c r="A19">
        <v>4.7</v>
      </c>
    </row>
    <row r="20" spans="1:1" x14ac:dyDescent="0.25">
      <c r="A20">
        <v>5.0999999999999996</v>
      </c>
    </row>
    <row r="21" spans="1:1" x14ac:dyDescent="0.25">
      <c r="A21">
        <v>5.6</v>
      </c>
    </row>
    <row r="22" spans="1:1" x14ac:dyDescent="0.25">
      <c r="A22">
        <v>6.2</v>
      </c>
    </row>
    <row r="23" spans="1:1" x14ac:dyDescent="0.25">
      <c r="A23">
        <v>6.8</v>
      </c>
    </row>
    <row r="24" spans="1:1" x14ac:dyDescent="0.25">
      <c r="A24">
        <v>7.5</v>
      </c>
    </row>
    <row r="25" spans="1:1" x14ac:dyDescent="0.25">
      <c r="A25">
        <v>8.1999999999999993</v>
      </c>
    </row>
    <row r="26" spans="1:1" x14ac:dyDescent="0.25">
      <c r="A26">
        <v>9.1</v>
      </c>
    </row>
    <row r="27" spans="1:1" x14ac:dyDescent="0.25">
      <c r="A27">
        <f>A3*10</f>
        <v>10</v>
      </c>
    </row>
    <row r="28" spans="1:1" x14ac:dyDescent="0.25">
      <c r="A28">
        <f t="shared" ref="A28:A91" si="0">A4*10</f>
        <v>11</v>
      </c>
    </row>
    <row r="29" spans="1:1" x14ac:dyDescent="0.25">
      <c r="A29">
        <f t="shared" si="0"/>
        <v>12</v>
      </c>
    </row>
    <row r="30" spans="1:1" x14ac:dyDescent="0.25">
      <c r="A30">
        <f t="shared" si="0"/>
        <v>12</v>
      </c>
    </row>
    <row r="31" spans="1:1" x14ac:dyDescent="0.25">
      <c r="A31">
        <f t="shared" si="0"/>
        <v>15</v>
      </c>
    </row>
    <row r="32" spans="1:1" x14ac:dyDescent="0.25">
      <c r="A32">
        <f t="shared" si="0"/>
        <v>16</v>
      </c>
    </row>
    <row r="33" spans="1:1" x14ac:dyDescent="0.25">
      <c r="A33">
        <f t="shared" si="0"/>
        <v>18</v>
      </c>
    </row>
    <row r="34" spans="1:1" x14ac:dyDescent="0.25">
      <c r="A34">
        <f t="shared" si="0"/>
        <v>20</v>
      </c>
    </row>
    <row r="35" spans="1:1" x14ac:dyDescent="0.25">
      <c r="A35">
        <f t="shared" si="0"/>
        <v>22</v>
      </c>
    </row>
    <row r="36" spans="1:1" x14ac:dyDescent="0.25">
      <c r="A36">
        <f t="shared" si="0"/>
        <v>24</v>
      </c>
    </row>
    <row r="37" spans="1:1" x14ac:dyDescent="0.25">
      <c r="A37">
        <f t="shared" si="0"/>
        <v>27</v>
      </c>
    </row>
    <row r="38" spans="1:1" x14ac:dyDescent="0.25">
      <c r="A38">
        <f t="shared" si="0"/>
        <v>30</v>
      </c>
    </row>
    <row r="39" spans="1:1" x14ac:dyDescent="0.25">
      <c r="A39">
        <f t="shared" si="0"/>
        <v>33</v>
      </c>
    </row>
    <row r="40" spans="1:1" x14ac:dyDescent="0.25">
      <c r="A40">
        <f t="shared" si="0"/>
        <v>36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43</v>
      </c>
    </row>
    <row r="43" spans="1:1" x14ac:dyDescent="0.25">
      <c r="A43">
        <f t="shared" si="0"/>
        <v>47</v>
      </c>
    </row>
    <row r="44" spans="1:1" x14ac:dyDescent="0.25">
      <c r="A44">
        <f t="shared" si="0"/>
        <v>51</v>
      </c>
    </row>
    <row r="45" spans="1:1" x14ac:dyDescent="0.25">
      <c r="A45">
        <f t="shared" si="0"/>
        <v>56</v>
      </c>
    </row>
    <row r="46" spans="1:1" x14ac:dyDescent="0.25">
      <c r="A46">
        <f t="shared" si="0"/>
        <v>62</v>
      </c>
    </row>
    <row r="47" spans="1:1" x14ac:dyDescent="0.25">
      <c r="A47">
        <f t="shared" si="0"/>
        <v>68</v>
      </c>
    </row>
    <row r="48" spans="1:1" x14ac:dyDescent="0.25">
      <c r="A48">
        <f t="shared" si="0"/>
        <v>75</v>
      </c>
    </row>
    <row r="49" spans="1:1" x14ac:dyDescent="0.25">
      <c r="A49">
        <f t="shared" si="0"/>
        <v>82</v>
      </c>
    </row>
    <row r="50" spans="1:1" x14ac:dyDescent="0.25">
      <c r="A50">
        <f t="shared" si="0"/>
        <v>91</v>
      </c>
    </row>
    <row r="51" spans="1:1" x14ac:dyDescent="0.25">
      <c r="A51">
        <f t="shared" si="0"/>
        <v>100</v>
      </c>
    </row>
    <row r="52" spans="1:1" x14ac:dyDescent="0.25">
      <c r="A52">
        <f t="shared" si="0"/>
        <v>110</v>
      </c>
    </row>
    <row r="53" spans="1:1" x14ac:dyDescent="0.25">
      <c r="A53">
        <f t="shared" si="0"/>
        <v>120</v>
      </c>
    </row>
    <row r="54" spans="1:1" x14ac:dyDescent="0.25">
      <c r="A54">
        <f t="shared" si="0"/>
        <v>120</v>
      </c>
    </row>
    <row r="55" spans="1:1" x14ac:dyDescent="0.25">
      <c r="A55">
        <f t="shared" si="0"/>
        <v>150</v>
      </c>
    </row>
    <row r="56" spans="1:1" x14ac:dyDescent="0.25">
      <c r="A56">
        <f t="shared" si="0"/>
        <v>160</v>
      </c>
    </row>
    <row r="57" spans="1:1" x14ac:dyDescent="0.25">
      <c r="A57">
        <f t="shared" si="0"/>
        <v>180</v>
      </c>
    </row>
    <row r="58" spans="1:1" x14ac:dyDescent="0.25">
      <c r="A58">
        <f t="shared" si="0"/>
        <v>200</v>
      </c>
    </row>
    <row r="59" spans="1:1" x14ac:dyDescent="0.25">
      <c r="A59">
        <f t="shared" si="0"/>
        <v>220</v>
      </c>
    </row>
    <row r="60" spans="1:1" x14ac:dyDescent="0.25">
      <c r="A60">
        <f t="shared" si="0"/>
        <v>240</v>
      </c>
    </row>
    <row r="61" spans="1:1" x14ac:dyDescent="0.25">
      <c r="A61">
        <f t="shared" si="0"/>
        <v>270</v>
      </c>
    </row>
    <row r="62" spans="1:1" x14ac:dyDescent="0.25">
      <c r="A62">
        <f t="shared" si="0"/>
        <v>300</v>
      </c>
    </row>
    <row r="63" spans="1:1" x14ac:dyDescent="0.25">
      <c r="A63">
        <f t="shared" si="0"/>
        <v>330</v>
      </c>
    </row>
    <row r="64" spans="1:1" x14ac:dyDescent="0.25">
      <c r="A64">
        <f t="shared" si="0"/>
        <v>360</v>
      </c>
    </row>
    <row r="65" spans="1:1" x14ac:dyDescent="0.25">
      <c r="A65">
        <f t="shared" si="0"/>
        <v>390</v>
      </c>
    </row>
    <row r="66" spans="1:1" x14ac:dyDescent="0.25">
      <c r="A66">
        <f t="shared" si="0"/>
        <v>430</v>
      </c>
    </row>
    <row r="67" spans="1:1" x14ac:dyDescent="0.25">
      <c r="A67">
        <f t="shared" si="0"/>
        <v>470</v>
      </c>
    </row>
    <row r="68" spans="1:1" x14ac:dyDescent="0.25">
      <c r="A68">
        <f t="shared" si="0"/>
        <v>510</v>
      </c>
    </row>
    <row r="69" spans="1:1" x14ac:dyDescent="0.25">
      <c r="A69">
        <f t="shared" si="0"/>
        <v>560</v>
      </c>
    </row>
    <row r="70" spans="1:1" x14ac:dyDescent="0.25">
      <c r="A70">
        <f t="shared" si="0"/>
        <v>620</v>
      </c>
    </row>
    <row r="71" spans="1:1" x14ac:dyDescent="0.25">
      <c r="A71">
        <f t="shared" si="0"/>
        <v>680</v>
      </c>
    </row>
    <row r="72" spans="1:1" x14ac:dyDescent="0.25">
      <c r="A72">
        <f t="shared" si="0"/>
        <v>750</v>
      </c>
    </row>
    <row r="73" spans="1:1" x14ac:dyDescent="0.25">
      <c r="A73">
        <f t="shared" si="0"/>
        <v>820</v>
      </c>
    </row>
    <row r="74" spans="1:1" x14ac:dyDescent="0.25">
      <c r="A74">
        <f t="shared" si="0"/>
        <v>910</v>
      </c>
    </row>
    <row r="75" spans="1:1" x14ac:dyDescent="0.25">
      <c r="A75">
        <f t="shared" si="0"/>
        <v>1000</v>
      </c>
    </row>
    <row r="76" spans="1:1" x14ac:dyDescent="0.25">
      <c r="A76">
        <f t="shared" si="0"/>
        <v>1100</v>
      </c>
    </row>
    <row r="77" spans="1:1" x14ac:dyDescent="0.25">
      <c r="A77">
        <f t="shared" si="0"/>
        <v>1200</v>
      </c>
    </row>
    <row r="78" spans="1:1" x14ac:dyDescent="0.25">
      <c r="A78">
        <f t="shared" si="0"/>
        <v>1200</v>
      </c>
    </row>
    <row r="79" spans="1:1" x14ac:dyDescent="0.25">
      <c r="A79">
        <f t="shared" si="0"/>
        <v>1500</v>
      </c>
    </row>
    <row r="80" spans="1:1" x14ac:dyDescent="0.25">
      <c r="A80">
        <f t="shared" si="0"/>
        <v>1600</v>
      </c>
    </row>
    <row r="81" spans="1:1" x14ac:dyDescent="0.25">
      <c r="A81">
        <f t="shared" si="0"/>
        <v>1800</v>
      </c>
    </row>
    <row r="82" spans="1:1" x14ac:dyDescent="0.25">
      <c r="A82">
        <f t="shared" si="0"/>
        <v>2000</v>
      </c>
    </row>
    <row r="83" spans="1:1" x14ac:dyDescent="0.25">
      <c r="A83">
        <f t="shared" si="0"/>
        <v>2200</v>
      </c>
    </row>
    <row r="84" spans="1:1" x14ac:dyDescent="0.25">
      <c r="A84">
        <f t="shared" si="0"/>
        <v>2400</v>
      </c>
    </row>
    <row r="85" spans="1:1" x14ac:dyDescent="0.25">
      <c r="A85">
        <f t="shared" si="0"/>
        <v>2700</v>
      </c>
    </row>
    <row r="86" spans="1:1" x14ac:dyDescent="0.25">
      <c r="A86">
        <f t="shared" si="0"/>
        <v>3000</v>
      </c>
    </row>
    <row r="87" spans="1:1" x14ac:dyDescent="0.25">
      <c r="A87">
        <f t="shared" si="0"/>
        <v>3300</v>
      </c>
    </row>
    <row r="88" spans="1:1" x14ac:dyDescent="0.25">
      <c r="A88">
        <f t="shared" si="0"/>
        <v>3600</v>
      </c>
    </row>
    <row r="89" spans="1:1" x14ac:dyDescent="0.25">
      <c r="A89">
        <f t="shared" si="0"/>
        <v>3900</v>
      </c>
    </row>
    <row r="90" spans="1:1" x14ac:dyDescent="0.25">
      <c r="A90">
        <f t="shared" si="0"/>
        <v>4300</v>
      </c>
    </row>
    <row r="91" spans="1:1" x14ac:dyDescent="0.25">
      <c r="A91">
        <f t="shared" si="0"/>
        <v>4700</v>
      </c>
    </row>
    <row r="92" spans="1:1" x14ac:dyDescent="0.25">
      <c r="A92">
        <f t="shared" ref="A92:A155" si="1">A68*10</f>
        <v>5100</v>
      </c>
    </row>
    <row r="93" spans="1:1" x14ac:dyDescent="0.25">
      <c r="A93">
        <f t="shared" si="1"/>
        <v>5600</v>
      </c>
    </row>
    <row r="94" spans="1:1" x14ac:dyDescent="0.25">
      <c r="A94">
        <f t="shared" si="1"/>
        <v>6200</v>
      </c>
    </row>
    <row r="95" spans="1:1" x14ac:dyDescent="0.25">
      <c r="A95">
        <f t="shared" si="1"/>
        <v>6800</v>
      </c>
    </row>
    <row r="96" spans="1:1" x14ac:dyDescent="0.25">
      <c r="A96">
        <f t="shared" si="1"/>
        <v>7500</v>
      </c>
    </row>
    <row r="97" spans="1:1" x14ac:dyDescent="0.25">
      <c r="A97">
        <f t="shared" si="1"/>
        <v>8200</v>
      </c>
    </row>
    <row r="98" spans="1:1" x14ac:dyDescent="0.25">
      <c r="A98">
        <f t="shared" si="1"/>
        <v>9100</v>
      </c>
    </row>
    <row r="99" spans="1:1" x14ac:dyDescent="0.25">
      <c r="A99">
        <f t="shared" si="1"/>
        <v>10000</v>
      </c>
    </row>
    <row r="100" spans="1:1" x14ac:dyDescent="0.25">
      <c r="A100">
        <f t="shared" si="1"/>
        <v>11000</v>
      </c>
    </row>
    <row r="101" spans="1:1" x14ac:dyDescent="0.25">
      <c r="A101">
        <f t="shared" si="1"/>
        <v>12000</v>
      </c>
    </row>
    <row r="102" spans="1:1" x14ac:dyDescent="0.25">
      <c r="A102">
        <f t="shared" si="1"/>
        <v>12000</v>
      </c>
    </row>
    <row r="103" spans="1:1" x14ac:dyDescent="0.25">
      <c r="A103">
        <f t="shared" si="1"/>
        <v>15000</v>
      </c>
    </row>
    <row r="104" spans="1:1" x14ac:dyDescent="0.25">
      <c r="A104">
        <f t="shared" si="1"/>
        <v>16000</v>
      </c>
    </row>
    <row r="105" spans="1:1" x14ac:dyDescent="0.25">
      <c r="A105">
        <f t="shared" si="1"/>
        <v>18000</v>
      </c>
    </row>
    <row r="106" spans="1:1" x14ac:dyDescent="0.25">
      <c r="A106">
        <f t="shared" si="1"/>
        <v>20000</v>
      </c>
    </row>
    <row r="107" spans="1:1" x14ac:dyDescent="0.25">
      <c r="A107">
        <f t="shared" si="1"/>
        <v>22000</v>
      </c>
    </row>
    <row r="108" spans="1:1" x14ac:dyDescent="0.25">
      <c r="A108">
        <f t="shared" si="1"/>
        <v>24000</v>
      </c>
    </row>
    <row r="109" spans="1:1" x14ac:dyDescent="0.25">
      <c r="A109">
        <f t="shared" si="1"/>
        <v>27000</v>
      </c>
    </row>
    <row r="110" spans="1:1" x14ac:dyDescent="0.25">
      <c r="A110">
        <f t="shared" si="1"/>
        <v>30000</v>
      </c>
    </row>
    <row r="111" spans="1:1" x14ac:dyDescent="0.25">
      <c r="A111">
        <f t="shared" si="1"/>
        <v>33000</v>
      </c>
    </row>
    <row r="112" spans="1:1" x14ac:dyDescent="0.25">
      <c r="A112">
        <f t="shared" si="1"/>
        <v>36000</v>
      </c>
    </row>
    <row r="113" spans="1:1" x14ac:dyDescent="0.25">
      <c r="A113">
        <f t="shared" si="1"/>
        <v>39000</v>
      </c>
    </row>
    <row r="114" spans="1:1" x14ac:dyDescent="0.25">
      <c r="A114">
        <f t="shared" si="1"/>
        <v>43000</v>
      </c>
    </row>
    <row r="115" spans="1:1" x14ac:dyDescent="0.25">
      <c r="A115">
        <f t="shared" si="1"/>
        <v>47000</v>
      </c>
    </row>
    <row r="116" spans="1:1" x14ac:dyDescent="0.25">
      <c r="A116">
        <f t="shared" si="1"/>
        <v>51000</v>
      </c>
    </row>
    <row r="117" spans="1:1" x14ac:dyDescent="0.25">
      <c r="A117">
        <f t="shared" si="1"/>
        <v>56000</v>
      </c>
    </row>
    <row r="118" spans="1:1" x14ac:dyDescent="0.25">
      <c r="A118">
        <f t="shared" si="1"/>
        <v>62000</v>
      </c>
    </row>
    <row r="119" spans="1:1" x14ac:dyDescent="0.25">
      <c r="A119">
        <f t="shared" si="1"/>
        <v>68000</v>
      </c>
    </row>
    <row r="120" spans="1:1" x14ac:dyDescent="0.25">
      <c r="A120">
        <f t="shared" si="1"/>
        <v>75000</v>
      </c>
    </row>
    <row r="121" spans="1:1" x14ac:dyDescent="0.25">
      <c r="A121">
        <f t="shared" si="1"/>
        <v>82000</v>
      </c>
    </row>
    <row r="122" spans="1:1" x14ac:dyDescent="0.25">
      <c r="A122">
        <f t="shared" si="1"/>
        <v>91000</v>
      </c>
    </row>
    <row r="123" spans="1:1" x14ac:dyDescent="0.25">
      <c r="A123">
        <f t="shared" si="1"/>
        <v>100000</v>
      </c>
    </row>
    <row r="124" spans="1:1" x14ac:dyDescent="0.25">
      <c r="A124">
        <f t="shared" si="1"/>
        <v>110000</v>
      </c>
    </row>
    <row r="125" spans="1:1" x14ac:dyDescent="0.25">
      <c r="A125">
        <f t="shared" si="1"/>
        <v>120000</v>
      </c>
    </row>
    <row r="126" spans="1:1" x14ac:dyDescent="0.25">
      <c r="A126">
        <f t="shared" si="1"/>
        <v>120000</v>
      </c>
    </row>
    <row r="127" spans="1:1" x14ac:dyDescent="0.25">
      <c r="A127">
        <f t="shared" si="1"/>
        <v>150000</v>
      </c>
    </row>
    <row r="128" spans="1:1" x14ac:dyDescent="0.25">
      <c r="A128">
        <f t="shared" si="1"/>
        <v>160000</v>
      </c>
    </row>
    <row r="129" spans="1:1" x14ac:dyDescent="0.25">
      <c r="A129">
        <f t="shared" si="1"/>
        <v>180000</v>
      </c>
    </row>
    <row r="130" spans="1:1" x14ac:dyDescent="0.25">
      <c r="A130">
        <f t="shared" si="1"/>
        <v>200000</v>
      </c>
    </row>
    <row r="131" spans="1:1" x14ac:dyDescent="0.25">
      <c r="A131">
        <f t="shared" si="1"/>
        <v>220000</v>
      </c>
    </row>
    <row r="132" spans="1:1" x14ac:dyDescent="0.25">
      <c r="A132">
        <f t="shared" si="1"/>
        <v>240000</v>
      </c>
    </row>
    <row r="133" spans="1:1" x14ac:dyDescent="0.25">
      <c r="A133">
        <f t="shared" si="1"/>
        <v>270000</v>
      </c>
    </row>
    <row r="134" spans="1:1" x14ac:dyDescent="0.25">
      <c r="A134">
        <f t="shared" si="1"/>
        <v>300000</v>
      </c>
    </row>
    <row r="135" spans="1:1" x14ac:dyDescent="0.25">
      <c r="A135">
        <f t="shared" si="1"/>
        <v>330000</v>
      </c>
    </row>
    <row r="136" spans="1:1" x14ac:dyDescent="0.25">
      <c r="A136">
        <f t="shared" si="1"/>
        <v>360000</v>
      </c>
    </row>
    <row r="137" spans="1:1" x14ac:dyDescent="0.25">
      <c r="A137">
        <f t="shared" si="1"/>
        <v>390000</v>
      </c>
    </row>
    <row r="138" spans="1:1" x14ac:dyDescent="0.25">
      <c r="A138">
        <f t="shared" si="1"/>
        <v>430000</v>
      </c>
    </row>
    <row r="139" spans="1:1" x14ac:dyDescent="0.25">
      <c r="A139">
        <f t="shared" si="1"/>
        <v>470000</v>
      </c>
    </row>
    <row r="140" spans="1:1" x14ac:dyDescent="0.25">
      <c r="A140">
        <f t="shared" si="1"/>
        <v>510000</v>
      </c>
    </row>
    <row r="141" spans="1:1" x14ac:dyDescent="0.25">
      <c r="A141">
        <f t="shared" si="1"/>
        <v>560000</v>
      </c>
    </row>
    <row r="142" spans="1:1" x14ac:dyDescent="0.25">
      <c r="A142">
        <f t="shared" si="1"/>
        <v>620000</v>
      </c>
    </row>
    <row r="143" spans="1:1" x14ac:dyDescent="0.25">
      <c r="A143">
        <f t="shared" si="1"/>
        <v>680000</v>
      </c>
    </row>
    <row r="144" spans="1:1" x14ac:dyDescent="0.25">
      <c r="A144">
        <f t="shared" si="1"/>
        <v>750000</v>
      </c>
    </row>
    <row r="145" spans="1:1" x14ac:dyDescent="0.25">
      <c r="A145">
        <f t="shared" si="1"/>
        <v>820000</v>
      </c>
    </row>
    <row r="146" spans="1:1" x14ac:dyDescent="0.25">
      <c r="A146">
        <f t="shared" si="1"/>
        <v>910000</v>
      </c>
    </row>
    <row r="147" spans="1:1" x14ac:dyDescent="0.25">
      <c r="A147">
        <f t="shared" si="1"/>
        <v>1000000</v>
      </c>
    </row>
    <row r="148" spans="1:1" x14ac:dyDescent="0.25">
      <c r="A148">
        <f t="shared" si="1"/>
        <v>1100000</v>
      </c>
    </row>
    <row r="149" spans="1:1" x14ac:dyDescent="0.25">
      <c r="A149">
        <f t="shared" si="1"/>
        <v>1200000</v>
      </c>
    </row>
    <row r="150" spans="1:1" x14ac:dyDescent="0.25">
      <c r="A150">
        <f t="shared" si="1"/>
        <v>1200000</v>
      </c>
    </row>
    <row r="151" spans="1:1" x14ac:dyDescent="0.25">
      <c r="A151">
        <f t="shared" si="1"/>
        <v>1500000</v>
      </c>
    </row>
    <row r="152" spans="1:1" x14ac:dyDescent="0.25">
      <c r="A152">
        <f t="shared" si="1"/>
        <v>1600000</v>
      </c>
    </row>
    <row r="153" spans="1:1" x14ac:dyDescent="0.25">
      <c r="A153">
        <f t="shared" si="1"/>
        <v>1800000</v>
      </c>
    </row>
    <row r="154" spans="1:1" x14ac:dyDescent="0.25">
      <c r="A154">
        <f t="shared" si="1"/>
        <v>2000000</v>
      </c>
    </row>
    <row r="155" spans="1:1" x14ac:dyDescent="0.25">
      <c r="A155">
        <f t="shared" si="1"/>
        <v>2200000</v>
      </c>
    </row>
    <row r="156" spans="1:1" x14ac:dyDescent="0.25">
      <c r="A156">
        <f t="shared" ref="A156:A170" si="2">A132*10</f>
        <v>2400000</v>
      </c>
    </row>
    <row r="157" spans="1:1" x14ac:dyDescent="0.25">
      <c r="A157">
        <f t="shared" si="2"/>
        <v>2700000</v>
      </c>
    </row>
    <row r="158" spans="1:1" x14ac:dyDescent="0.25">
      <c r="A158">
        <f t="shared" si="2"/>
        <v>3000000</v>
      </c>
    </row>
    <row r="159" spans="1:1" x14ac:dyDescent="0.25">
      <c r="A159">
        <f t="shared" si="2"/>
        <v>3300000</v>
      </c>
    </row>
    <row r="160" spans="1:1" x14ac:dyDescent="0.25">
      <c r="A160">
        <f t="shared" si="2"/>
        <v>3600000</v>
      </c>
    </row>
    <row r="161" spans="1:1" x14ac:dyDescent="0.25">
      <c r="A161">
        <f t="shared" si="2"/>
        <v>3900000</v>
      </c>
    </row>
    <row r="162" spans="1:1" x14ac:dyDescent="0.25">
      <c r="A162">
        <f t="shared" si="2"/>
        <v>4300000</v>
      </c>
    </row>
    <row r="163" spans="1:1" x14ac:dyDescent="0.25">
      <c r="A163">
        <f t="shared" si="2"/>
        <v>4700000</v>
      </c>
    </row>
    <row r="164" spans="1:1" x14ac:dyDescent="0.25">
      <c r="A164">
        <f t="shared" si="2"/>
        <v>5100000</v>
      </c>
    </row>
    <row r="165" spans="1:1" x14ac:dyDescent="0.25">
      <c r="A165">
        <f t="shared" si="2"/>
        <v>5600000</v>
      </c>
    </row>
    <row r="166" spans="1:1" x14ac:dyDescent="0.25">
      <c r="A166">
        <f t="shared" si="2"/>
        <v>6200000</v>
      </c>
    </row>
    <row r="167" spans="1:1" x14ac:dyDescent="0.25">
      <c r="A167">
        <f t="shared" si="2"/>
        <v>6800000</v>
      </c>
    </row>
    <row r="168" spans="1:1" x14ac:dyDescent="0.25">
      <c r="A168">
        <f t="shared" si="2"/>
        <v>7500000</v>
      </c>
    </row>
    <row r="169" spans="1:1" x14ac:dyDescent="0.25">
      <c r="A169">
        <f t="shared" si="2"/>
        <v>8200000</v>
      </c>
    </row>
    <row r="170" spans="1:1" x14ac:dyDescent="0.25">
      <c r="A170">
        <f t="shared" si="2"/>
        <v>9100000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OptoIsolator</vt:lpstr>
      <vt:lpstr>ADC</vt:lpstr>
      <vt:lpstr>Debounce</vt:lpstr>
      <vt:lpstr>Regulator</vt:lpstr>
      <vt:lpstr>Lookup</vt:lpstr>
      <vt:lpstr>Resistors_1percent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W Malan</dc:creator>
  <cp:lastModifiedBy>Gerhard Malan</cp:lastModifiedBy>
  <dcterms:created xsi:type="dcterms:W3CDTF">2023-02-03T00:12:24Z</dcterms:created>
  <dcterms:modified xsi:type="dcterms:W3CDTF">2024-02-07T16:18:56Z</dcterms:modified>
</cp:coreProperties>
</file>