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qvmv\Desktop\MSU_Training\excel challenge\Instructions\"/>
    </mc:Choice>
  </mc:AlternateContent>
  <xr:revisionPtr revIDLastSave="0" documentId="13_ncr:1_{B9B6CF7B-2844-4E8C-B8C4-A4A0FA0F0D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tegory Pivot Chart" sheetId="2" r:id="rId1"/>
    <sheet name="Sub-category Pivot Chart" sheetId="3" r:id="rId2"/>
    <sheet name="Line Chart" sheetId="6" r:id="rId3"/>
    <sheet name="Sheet4" sheetId="5" r:id="rId4"/>
    <sheet name="Outcome Based on Goals" sheetId="7" r:id="rId5"/>
    <sheet name="Statistical Analysis" sheetId="10" r:id="rId6"/>
    <sheet name="Crowdfunding" sheetId="1" r:id="rId7"/>
  </sheets>
  <definedNames>
    <definedName name="_xlnm._FilterDatabase" localSheetId="6" hidden="1">Crowdfunding!$A$1:$T$1001</definedName>
    <definedName name="_xlnm._FilterDatabase" localSheetId="5" hidden="1">'Statistical Analysis'!$A$1:$B$997</definedName>
    <definedName name="_xlcn.WorksheetConnection_CrowdfundingA1T10011" hidden="1">Crowdfunding!$A$1:$T$1001</definedName>
  </definedNames>
  <calcPr calcId="191029"/>
  <pivotCaches>
    <pivotCache cacheId="0" r:id="rId8"/>
    <pivotCache cacheId="32" r:id="rId9"/>
    <pivotCache cacheId="27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H6" i="10"/>
  <c r="H5" i="10"/>
  <c r="H4" i="10"/>
  <c r="H3" i="10"/>
  <c r="H2" i="10"/>
  <c r="D7" i="10"/>
  <c r="D6" i="10"/>
  <c r="D5" i="10"/>
  <c r="D4" i="10"/>
  <c r="D3" i="10"/>
  <c r="D2" i="10"/>
  <c r="D13" i="7"/>
  <c r="D12" i="7"/>
  <c r="D11" i="7"/>
  <c r="D10" i="7"/>
  <c r="D9" i="7"/>
  <c r="D8" i="7"/>
  <c r="D7" i="7"/>
  <c r="D6" i="7"/>
  <c r="D5" i="7"/>
  <c r="D4" i="7"/>
  <c r="D3" i="7"/>
  <c r="D2" i="7"/>
  <c r="C2" i="7"/>
  <c r="C13" i="7"/>
  <c r="C12" i="7"/>
  <c r="C11" i="7"/>
  <c r="C10" i="7"/>
  <c r="C9" i="7"/>
  <c r="C8" i="7"/>
  <c r="C7" i="7"/>
  <c r="C6" i="7"/>
  <c r="C5" i="7"/>
  <c r="C4" i="7"/>
  <c r="C3" i="7"/>
  <c r="B13" i="7"/>
  <c r="B12" i="7"/>
  <c r="B11" i="7"/>
  <c r="B10" i="7"/>
  <c r="B9" i="7"/>
  <c r="B8" i="7"/>
  <c r="B7" i="7"/>
  <c r="B6" i="7"/>
  <c r="B5" i="7"/>
  <c r="B4" i="7"/>
  <c r="B3" i="7"/>
  <c r="B2" i="7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2"/>
  <c r="H12" i="2"/>
  <c r="H11" i="2"/>
  <c r="H10" i="2"/>
  <c r="H9" i="2"/>
  <c r="H7" i="2"/>
  <c r="H6" i="2"/>
  <c r="H5" i="2"/>
  <c r="G13" i="2"/>
  <c r="G12" i="2"/>
  <c r="G11" i="2"/>
  <c r="G10" i="2"/>
  <c r="G9" i="2"/>
  <c r="G8" i="2"/>
  <c r="G7" i="2"/>
  <c r="G6" i="2"/>
  <c r="G5" i="2"/>
  <c r="E8" i="7" l="1"/>
  <c r="G8" i="7" s="1"/>
  <c r="E2" i="7"/>
  <c r="H2" i="7" s="1"/>
  <c r="E13" i="7"/>
  <c r="G13" i="7" s="1"/>
  <c r="E12" i="7"/>
  <c r="G12" i="7" s="1"/>
  <c r="F8" i="7"/>
  <c r="E11" i="7"/>
  <c r="H11" i="7" s="1"/>
  <c r="E10" i="7"/>
  <c r="H10" i="7" s="1"/>
  <c r="E9" i="7"/>
  <c r="G9" i="7" s="1"/>
  <c r="E7" i="7"/>
  <c r="H7" i="7" s="1"/>
  <c r="E6" i="7"/>
  <c r="F6" i="7" s="1"/>
  <c r="E5" i="7"/>
  <c r="G5" i="7" s="1"/>
  <c r="E4" i="7"/>
  <c r="F4" i="7" s="1"/>
  <c r="E3" i="7"/>
  <c r="H3" i="7" s="1"/>
  <c r="H9" i="7" l="1"/>
  <c r="H8" i="7"/>
  <c r="F10" i="7"/>
  <c r="H5" i="7"/>
  <c r="G10" i="7"/>
  <c r="G7" i="7"/>
  <c r="G6" i="7"/>
  <c r="F7" i="7"/>
  <c r="H6" i="7"/>
  <c r="F11" i="7"/>
  <c r="F2" i="7"/>
  <c r="G11" i="7"/>
  <c r="H13" i="7"/>
  <c r="F5" i="7"/>
  <c r="G2" i="7"/>
  <c r="F3" i="7"/>
  <c r="F13" i="7"/>
  <c r="H12" i="7"/>
  <c r="G4" i="7"/>
  <c r="F12" i="7"/>
  <c r="F9" i="7"/>
  <c r="H4" i="7"/>
  <c r="G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1A1CD-59E0-4FCC-A342-AE51F7859AB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65C94CF-999B-4B7C-949B-7E826C6EF90B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-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<sst xmlns="http://schemas.openxmlformats.org/spreadsheetml/2006/main" count="9084" uniqueCount="2114">
  <si>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</si>
  <si>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</si>
  <si>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</si>
  <si>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</si>
  <si>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</si>
  <si>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</si>
  <si>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</si>
  <si>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</si>
  <si>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</si>
  <si>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</si>
  <si>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</si>
  <si>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</si>
  <si>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</si>
  <si>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</si>
  <si>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</si>
  <si>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</si>
  <si>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</si>
  <si>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</si>
  <si>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</si>
  <si>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</si>
  <si>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</si>
  <si>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</si>
  <si>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</si>
  <si>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</si>
  <si>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</si>
  <si>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</si>
  <si>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</si>
  <si>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</si>
  <si>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</si>
  <si>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</si>
  <si>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</si>
  <si>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</si>
  <si>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</si>
  <si>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</si>
  <si>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</si>
  <si>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</si>
  <si>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</si>
  <si>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</si>
  <si>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</si>
  <si>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</si>
  <si>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</si>
  <si>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</si>
  <si>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</si>
  <si>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</si>
  <si>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</si>
  <si>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</si>
  <si>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</si>
  <si>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</si>
  <si>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</si>
  <si>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</si>
  <si>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</si>
  <si>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</si>
  <si>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</si>
  <si>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</si>
  <si>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</si>
  <si>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</si>
  <si>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</si>
  <si>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</si>
  <si>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</si>
  <si>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</si>
  <si>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</si>
  <si>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</si>
  <si>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</si>
  <si>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</si>
  <si>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</si>
  <si>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</si>
  <si>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</si>
  <si>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</si>
  <si>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</si>
  <si>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</si>
  <si>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</si>
  <si>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</si>
  <si>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</si>
  <si>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</si>
  <si>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</si>
  <si>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</si>
  <si>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</si>
  <si>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</si>
  <si>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</si>
  <si>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</si>
  <si>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</si>
  <si>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</si>
  <si>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</si>
  <si>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</si>
  <si>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</si>
  <si>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</si>
  <si>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</si>
  <si>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</si>
  <si>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</si>
  <si>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</si>
  <si>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</si>
  <si>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</si>
  <si>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</si>
  <si>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</si>
  <si>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</si>
  <si>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</si>
  <si>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</si>
  <si>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</si>
  <si>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</si>
  <si>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</si>
  <si>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</si>
  <si>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</si>
  <si>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</si>
  <si>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</si>
  <si>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</si>
  <si>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</si>
  <si>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</si>
  <si>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</si>
  <si>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</si>
  <si>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</si>
  <si>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</si>
  <si>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</si>
  <si>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</si>
  <si>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</si>
  <si>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</si>
  <si>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</si>
  <si>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</si>
  <si>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</si>
  <si>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</si>
  <si>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</si>
  <si>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</si>
  <si>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</si>
  <si>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</si>
  <si>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</si>
  <si>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</si>
  <si>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</si>
  <si>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</si>
  <si>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</si>
  <si>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</si>
  <si>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</si>
  <si>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</si>
  <si>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</si>
  <si>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</si>
  <si>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</si>
  <si>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</si>
  <si>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</si>
  <si>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</si>
  <si>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</si>
  <si>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</si>
  <si>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</si>
  <si>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</si>
  <si>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</si>
  <si>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</si>
  <si>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</si>
  <si>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</si>
  <si>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</si>
  <si>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</si>
  <si>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</si>
  <si>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</si>
  <si>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</si>
  <si>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</si>
  <si>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</si>
  <si>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</si>
  <si>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</si>
  <si>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</si>
  <si>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</si>
  <si>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</si>
  <si>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</si>
  <si>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</si>
  <si>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</si>
  <si>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</si>
  <si>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</si>
  <si>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</si>
  <si>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</si>
  <si>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</si>
  <si>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</si>
  <si>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</si>
  <si>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</si>
  <si>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</si>
  <si>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</si>
  <si>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</si>
  <si>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</si>
  <si>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</si>
  <si>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</si>
  <si>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</si>
  <si>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</si>
  <si>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</si>
  <si>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</si>
  <si>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</si>
  <si>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</si>
  <si>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</si>
  <si>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</si>
  <si>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</si>
  <si>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</si>
  <si>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</si>
  <si>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</si>
  <si>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</si>
  <si>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</si>
  <si>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</si>
  <si>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</si>
  <si>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</si>
  <si>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</si>
  <si>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</si>
  <si>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</si>
  <si>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</si>
  <si>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</si>
  <si>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</si>
  <si>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</si>
  <si>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</si>
  <si>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</si>
  <si>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</si>
  <si>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</si>
  <si>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</si>
  <si>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</si>
  <si>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</si>
  <si>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</si>
  <si>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</si>
  <si>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</si>
  <si>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</si>
  <si>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</si>
  <si>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</si>
  <si>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</si>
  <si>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</si>
  <si>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</si>
  <si>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</si>
  <si>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</si>
  <si>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</si>
  <si>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</si>
  <si>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</si>
  <si>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</si>
  <si>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</si>
  <si>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</si>
  <si>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</si>
  <si>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</si>
  <si>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</si>
  <si>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</si>
  <si>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</si>
  <si>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</si>
  <si>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</si>
  <si>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</si>
  <si>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</si>
  <si>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</si>
  <si>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</si>
  <si>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</si>
  <si>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</si>
  <si>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</si>
  <si>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</si>
  <si>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</si>
  <si>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</si>
  <si>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</si>
  <si>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</si>
  <si>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</si>
  <si>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</si>
  <si>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</si>
  <si>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</si>
  <si>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</si>
  <si>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</si>
  <si>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</si>
  <si>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</si>
  <si>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</si>
  <si>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</si>
  <si>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</si>
  <si>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</si>
  <si>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</si>
  <si>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</si>
  <si>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</si>
  <si>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</si>
  <si>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</si>
  <si>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</si>
  <si>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</si>
  <si>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</si>
  <si>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</si>
  <si>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</si>
  <si>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</si>
  <si>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</si>
  <si>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</si>
  <si>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</si>
  <si>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</si>
  <si>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</si>
  <si>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</si>
  <si>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</si>
  <si>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</si>
  <si>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</si>
  <si>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</si>
  <si>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</si>
  <si>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</si>
  <si>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</si>
  <si>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</si>
  <si>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</si>
  <si>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</si>
  <si>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</si>
  <si>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</si>
  <si>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</si>
  <si>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</si>
  <si>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</si>
  <si>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</si>
  <si>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</si>
  <si>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</si>
  <si>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</si>
  <si>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</si>
  <si>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</si>
  <si>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</si>
  <si>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</si>
  <si>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</si>
  <si>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</si>
  <si>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</si>
  <si>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</si>
  <si>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</si>
  <si>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</si>
  <si>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</si>
  <si>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</si>
  <si>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</si>
  <si>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</si>
  <si>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</si>
  <si>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</si>
  <si>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</si>
  <si>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</si>
  <si>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</si>
  <si>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</si>
  <si>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</si>
  <si>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</si>
  <si>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</si>
  <si>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</si>
  <si>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</si>
  <si>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</si>
  <si>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</si>
  <si>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</si>
  <si>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</si>
  <si>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</si>
  <si>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</si>
  <si>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</si>
  <si>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</si>
  <si>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</si>
  <si>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</si>
  <si>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</si>
  <si>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</si>
  <si>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</si>
  <si>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</si>
  <si>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</si>
  <si>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</si>
  <si>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</si>
  <si>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</si>
  <si>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</si>
  <si>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</si>
  <si>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</si>
  <si>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</si>
  <si>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</si>
  <si>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</si>
  <si>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</si>
  <si>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</si>
  <si>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</si>
  <si>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</si>
  <si>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</si>
  <si>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</si>
  <si>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</si>
  <si>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</si>
  <si>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</si>
  <si>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</si>
  <si>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</si>
  <si>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</si>
  <si>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</si>
  <si>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</si>
  <si>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</si>
  <si>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</si>
  <si>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</si>
  <si>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</si>
  <si>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</si>
  <si>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</si>
  <si>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</si>
  <si>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</si>
  <si>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</si>
  <si>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</si>
  <si>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</si>
  <si>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</si>
  <si>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</si>
  <si>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</si>
  <si>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</si>
  <si>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</si>
  <si>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</si>
  <si>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</si>
  <si>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</si>
  <si>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</si>
  <si>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</si>
  <si>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</si>
  <si>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</si>
  <si>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</si>
  <si>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</si>
  <si>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</si>
  <si>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</si>
  <si>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</si>
  <si>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</si>
  <si>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</si>
  <si>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</si>
  <si>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</si>
  <si>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</si>
  <si>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</si>
  <si>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</si>
  <si>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</si>
  <si>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</si>
  <si>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</si>
  <si>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</si>
  <si>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</si>
  <si>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</si>
  <si>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</si>
  <si>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</si>
  <si>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</si>
  <si>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</si>
  <si>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</si>
  <si>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</si>
  <si>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</si>
  <si>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</si>
  <si>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</si>
  <si>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</si>
  <si>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</si>
  <si>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</si>
  <si>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</si>
  <si>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</si>
  <si>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</si>
  <si>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</si>
  <si>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</si>
  <si>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</si>
  <si>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</si>
  <si>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</si>
  <si>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</si>
  <si>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</si>
  <si>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</si>
  <si>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</si>
  <si>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</si>
  <si>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</si>
  <si>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</si>
  <si>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</si>
  <si>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</si>
  <si>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</si>
  <si>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</si>
  <si>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</si>
  <si>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</si>
  <si>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</si>
  <si>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</si>
  <si>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</si>
  <si>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</si>
  <si>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</si>
  <si>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</si>
  <si>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</si>
  <si>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</si>
  <si>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</si>
  <si>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</si>
  <si>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</si>
  <si>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</si>
  <si>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</si>
  <si>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</si>
  <si>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</si>
  <si>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</si>
  <si>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</si>
  <si>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</si>
  <si>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</si>
  <si>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</si>
  <si>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</si>
  <si>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</si>
  <si>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</si>
  <si>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</si>
  <si>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</si>
  <si>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</si>
  <si>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</si>
  <si>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</si>
  <si>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</si>
  <si>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</si>
  <si>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</si>
  <si>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</si>
  <si>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</si>
  <si>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</si>
  <si>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</si>
  <si>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</si>
  <si>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</si>
  <si>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</si>
  <si>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</si>
  <si>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</si>
  <si>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</si>
  <si>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</si>
  <si>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</si>
  <si>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</si>
  <si>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</si>
  <si>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</si>
  <si>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</si>
  <si>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</si>
  <si>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</si>
  <si>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</si>
  <si>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</si>
  <si>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</si>
  <si>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</si>
  <si>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</si>
  <si>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</si>
  <si>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</si>
  <si>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</si>
  <si>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</si>
  <si>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</si>
  <si>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</si>
  <si>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</si>
  <si>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</si>
  <si>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</si>
  <si>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</si>
  <si>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</si>
  <si>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</si>
  <si>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</si>
  <si>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</si>
  <si>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</si>
  <si>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</si>
  <si>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</si>
  <si>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</si>
  <si>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</si>
  <si>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</si>
  <si>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</si>
  <si>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</si>
  <si>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</si>
  <si>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</si>
  <si>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</si>
  <si>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</si>
  <si>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</si>
  <si>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</si>
  <si>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</si>
  <si>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</si>
  <si>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</si>
  <si>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</si>
  <si>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</si>
  <si>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</si>
  <si>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</si>
  <si>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</si>
  <si>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</si>
  <si>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</si>
  <si>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</si>
  <si>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</si>
  <si>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</si>
  <si>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</si>
  <si>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</si>
  <si>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</si>
  <si>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</si>
  <si>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</si>
  <si>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</si>
  <si>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</si>
  <si>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</si>
  <si>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</si>
  <si>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</si>
  <si>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</si>
  <si>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</si>
  <si>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</si>
  <si>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</si>
  <si>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</si>
  <si>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</si>
  <si>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</si>
  <si>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</si>
  <si>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</si>
  <si>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</si>
  <si>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</si>
  <si>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</si>
  <si>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</si>
  <si>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</si>
  <si>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</si>
  <si>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</si>
  <si>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</si>
  <si>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</si>
  <si>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</si>
  <si>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</si>
  <si>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</si>
  <si>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</si>
  <si>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</si>
  <si>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</si>
  <si>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</si>
  <si>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</si>
  <si>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</si>
  <si>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</si>
  <si>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</si>
  <si>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</si>
  <si>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</si>
  <si>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</si>
  <si>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</si>
  <si>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</si>
  <si>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</si>
  <si>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</si>
  <si>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</si>
  <si>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</si>
  <si>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</si>
  <si>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</si>
  <si>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</si>
  <si>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</si>
  <si>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</si>
  <si>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</si>
  <si>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</si>
  <si>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</si>
  <si>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</si>
  <si>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</si>
  <si>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</si>
  <si>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</si>
  <si>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</si>
  <si>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</si>
  <si>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</si>
  <si>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</si>
  <si>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</si>
  <si>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</si>
  <si>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</si>
  <si>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</si>
  <si>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</si>
  <si>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</si>
  <si>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</si>
  <si>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</si>
  <si>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</si>
  <si>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</si>
  <si>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</si>
  <si>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</si>
  <si>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</si>
  <si>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</si>
  <si>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</si>
  <si>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</si>
  <si>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</si>
  <si>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</si>
  <si>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</si>
  <si>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</si>
  <si>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</si>
  <si>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</si>
  <si>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</si>
  <si>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</si>
  <si>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</si>
  <si>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</si>
  <si>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</si>
  <si>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</si>
  <si>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</si>
  <si>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</si>
  <si>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</si>
  <si>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</si>
  <si>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</si>
  <si>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</si>
  <si>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</si>
  <si>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</si>
  <si>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</si>
  <si>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</si>
  <si>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</si>
  <si>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</si>
  <si>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</si>
  <si>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</si>
  <si>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</si>
  <si>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</si>
  <si>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</si>
  <si>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</si>
  <si>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</si>
  <si>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</si>
  <si>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</si>
  <si>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</si>
  <si>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</si>
  <si>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</si>
  <si>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</si>
  <si>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</si>
  <si>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</si>
  <si>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</si>
  <si>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</si>
  <si>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</si>
  <si>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</si>
  <si>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</si>
  <si>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</si>
  <si>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</si>
  <si>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</si>
  <si>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</si>
  <si>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</si>
  <si>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</si>
  <si>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</si>
  <si>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</si>
  <si>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</si>
  <si>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</si>
  <si>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</si>
  <si>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</si>
  <si>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</si>
  <si>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</si>
  <si>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</si>
  <si>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</si>
  <si>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</si>
  <si>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</si>
  <si>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</si>
  <si>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</si>
  <si>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</si>
  <si>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</si>
  <si>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</si>
  <si>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</si>
  <si>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</si>
  <si>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</si>
  <si>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</si>
  <si>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</si>
  <si>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</si>
  <si>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</si>
  <si>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</si>
  <si>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</si>
  <si>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</si>
  <si>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</si>
  <si>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</si>
  <si>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</si>
  <si>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</si>
  <si>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</si>
  <si>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</si>
  <si>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</si>
  <si>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</si>
  <si>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</si>
  <si>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</si>
  <si>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</si>
  <si>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</si>
  <si>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</si>
  <si>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</si>
  <si>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</si>
  <si>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</si>
  <si>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</si>
  <si>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</si>
  <si>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</si>
  <si>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</si>
  <si>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</si>
  <si>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</si>
  <si>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</si>
  <si>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</si>
  <si>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</si>
  <si>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</si>
  <si>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</si>
  <si>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</si>
  <si>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</si>
  <si>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</si>
  <si>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</si>
  <si>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</si>
  <si>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</si>
  <si>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</si>
  <si>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</si>
  <si>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</si>
  <si>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</si>
  <si>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</si>
  <si>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</si>
  <si>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</si>
  <si>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</si>
  <si>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</si>
  <si>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</si>
  <si>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</si>
  <si>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</si>
  <si>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</si>
  <si>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</si>
  <si>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</si>
  <si>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</si>
  <si>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</si>
  <si>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</si>
  <si>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</si>
  <si>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</si>
  <si>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</si>
  <si>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</si>
  <si>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</si>
  <si>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</si>
  <si>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</si>
  <si>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</si>
  <si>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</si>
  <si>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</si>
  <si>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</si>
  <si>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</si>
  <si>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</si>
  <si>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</si>
  <si>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</si>
  <si>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</si>
  <si>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</si>
  <si>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</si>
  <si>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</si>
  <si>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</si>
  <si>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</si>
  <si>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</si>
  <si>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</si>
  <si>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</si>
  <si>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</si>
  <si>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</si>
  <si>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</si>
  <si>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</si>
  <si>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</si>
  <si>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</si>
  <si>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</si>
  <si>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</si>
  <si>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</si>
  <si>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</si>
  <si>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</si>
  <si>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</si>
  <si>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</si>
  <si>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</si>
  <si>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</si>
  <si>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</si>
  <si>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</si>
  <si>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</si>
  <si>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</si>
  <si>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</si>
  <si>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</si>
  <si>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</si>
  <si>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</si>
  <si>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</si>
  <si>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</si>
  <si>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</si>
  <si>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</si>
  <si>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</si>
  <si>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</si>
  <si>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</si>
  <si>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</si>
  <si>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</si>
  <si>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</si>
  <si>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</si>
  <si>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</si>
  <si>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</si>
  <si>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</si>
  <si>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</si>
  <si>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</si>
  <si>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</si>
  <si>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</si>
  <si>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</si>
  <si>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</si>
  <si>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</si>
  <si>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</si>
  <si>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</si>
  <si>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</si>
  <si>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</si>
  <si>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</si>
  <si>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</si>
  <si>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</si>
  <si>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</si>
  <si>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</si>
  <si>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</si>
  <si>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</si>
  <si>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</si>
  <si>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</si>
  <si>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</si>
  <si>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</si>
  <si>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</si>
  <si>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</si>
  <si>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</si>
  <si>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</si>
  <si>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</si>
  <si>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</si>
  <si>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</si>
  <si>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</si>
  <si>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</si>
  <si>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</si>
  <si>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</si>
  <si>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</si>
  <si>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</si>
  <si>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</si>
  <si>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</si>
  <si>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</si>
  <si>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</si>
  <si>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</si>
  <si>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</si>
  <si>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</si>
  <si>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</si>
  <si>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</si>
  <si>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</si>
  <si>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</si>
  <si>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</si>
  <si>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</si>
  <si>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</si>
  <si>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</si>
  <si>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</si>
  <si>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</si>
  <si>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</si>
  <si>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</si>
  <si>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</si>
  <si>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</si>
  <si>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</si>
  <si>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</si>
  <si>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</si>
  <si>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</si>
  <si>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</si>
  <si>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</si>
  <si>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</si>
  <si>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</si>
  <si>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</si>
  <si>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</si>
  <si>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</si>
  <si>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</si>
  <si>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</si>
  <si>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</si>
  <si>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</si>
  <si>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</si>
  <si>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</si>
  <si>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</si>
  <si>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</si>
  <si>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</si>
  <si>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</si>
  <si>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</si>
  <si>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</si>
  <si>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</si>
  <si>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</si>
  <si>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</si>
  <si>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</si>
  <si>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</si>
  <si>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</si>
  <si>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</si>
  <si>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</si>
  <si>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</si>
  <si>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</si>
  <si>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</si>
  <si>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</si>
  <si>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</si>
  <si>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</si>
  <si>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</si>
  <si>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</si>
  <si>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</si>
  <si>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</si>
  <si>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</si>
  <si>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</si>
  <si>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</si>
  <si>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</si>
  <si>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</si>
  <si>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</si>
  <si>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</si>
  <si>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</si>
  <si>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</si>
  <si>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</si>
  <si>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</si>
  <si>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</si>
  <si>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</si>
  <si>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</si>
  <si>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</si>
  <si>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</si>
  <si>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</si>
  <si>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</si>
  <si>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</si>
  <si>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</si>
  <si>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</si>
  <si>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</si>
  <si>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</si>
  <si>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</si>
  <si>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</si>
  <si>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</si>
  <si>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</si>
  <si>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</si>
  <si>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</si>
  <si>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</si>
  <si>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</si>
  <si>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</si>
  <si>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</si>
  <si>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</si>
  <si>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</si>
  <si>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</si>
  <si>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</si>
  <si>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</si>
  <si>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</si>
  <si>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</si>
  <si>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</si>
  <si>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</si>
  <si>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</si>
  <si>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</si>
  <si>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</si>
  <si>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</si>
  <si>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</si>
  <si>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</si>
  <si>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</si>
  <si>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</si>
  <si>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</si>
  <si>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</si>
  <si>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</si>
  <si>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</si>
  <si>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</si>
  <si>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</si>
  <si>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</si>
  <si>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</si>
  <si>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</si>
  <si>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</si>
  <si>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</si>
  <si>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</si>
  <si>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</si>
  <si>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</si>
  <si>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</si>
  <si>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</si>
  <si>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</si>
  <si>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</si>
  <si>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</si>
  <si>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</si>
  <si>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</si>
  <si>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</si>
  <si>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</si>
  <si>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</si>
  <si>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</si>
  <si>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</si>
  <si>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</si>
  <si>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</si>
  <si>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</si>
  <si>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</si>
  <si>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</si>
  <si>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</si>
  <si>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</si>
  <si>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</si>
  <si>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</si>
  <si>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</si>
  <si>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</si>
  <si>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</si>
  <si>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</si>
  <si>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</si>
  <si>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</si>
  <si>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</si>
  <si>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</si>
  <si>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</si>
  <si>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</si>
  <si>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</si>
  <si>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</si>
  <si>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</si>
  <si>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</si>
  <si>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</si>
  <si>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</si>
  <si>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</si>
  <si>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</si>
  <si>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</si>
  <si>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</si>
  <si>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</si>
  <si>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</si>
  <si>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</si>
  <si>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</si>
  <si>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</si>
  <si>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</si>
  <si>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</si>
  <si>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</si>
  <si>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</si>
  <si>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</si>
  <si>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</si>
  <si>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</si>
  <si>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</si>
  <si>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</si>
  <si>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</si>
  <si>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</si>
  <si>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</si>
  <si>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</si>
  <si>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</si>
  <si>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</si>
  <si>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</si>
  <si>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</si>
  <si>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</si>
  <si>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</si>
  <si>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</si>
  <si>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</si>
  <si>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</si>
  <si>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</si>
  <si>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</si>
  <si>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</si>
  <si>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</si>
  <si>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</si>
  <si>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</si>
  <si>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</si>
  <si>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</si>
  <si>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</si>
  <si>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</si>
  <si>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</si>
  <si>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</si>
  <si>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</si>
  <si>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</si>
  <si>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</si>
  <si>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</si>
  <si>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</si>
  <si>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</si>
  <si>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</si>
  <si>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</si>
  <si>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</si>
  <si>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</si>
  <si>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</si>
  <si>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</si>
  <si>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</si>
  <si>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</si>
  <si>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</si>
  <si>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</si>
  <si>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</si>
  <si>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</si>
  <si>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</si>
  <si>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</si>
  <si>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</si>
  <si>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</si>
  <si>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</si>
  <si>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</si>
  <si>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</si>
  <si>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</si>
  <si>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</si>
  <si>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</si>
  <si>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</si>
  <si>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</si>
  <si>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</si>
  <si>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</si>
  <si>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</si>
  <si>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</si>
  <si>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</si>
  <si>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</si>
  <si>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</si>
  <si>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</si>
  <si>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</si>
  <si>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</si>
  <si>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</si>
  <si>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</si>
  <si>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</si>
  <si>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</si>
  <si>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</si>
  <si>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</si>
  <si>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</si>
  <si>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</si>
  <si>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</si>
  <si>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</si>
  <si>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</si>
  <si>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</si>
  <si>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</si>
  <si>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</si>
  <si>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</si>
  <si>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</si>
  <si>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</si>
  <si>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</si>
  <si>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</si>
  <si>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</si>
  <si>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</si>
  <si>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</si>
  <si>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</si>
  <si>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</si>
  <si>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</si>
  <si>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</si>
  <si>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</si>
  <si>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</si>
  <si>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</si>
  <si>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</si>
  <si>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</si>
  <si>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</si>
  <si>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</si>
  <si>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</si>
  <si>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</si>
  <si>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</si>
  <si>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</si>
  <si>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</si>
  <si>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</si>
  <si>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</si>
  <si>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</si>
  <si>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</si>
  <si>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</si>
  <si>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</si>
  <si>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</si>
  <si>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</si>
  <si>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</si>
  <si>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</si>
  <si>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</si>
  <si>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</si>
  <si>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</si>
  <si>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</si>
  <si>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</si>
  <si>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</si>
  <si>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</si>
  <si>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</si>
  <si>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</si>
  <si>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</si>
  <si>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</si>
  <si>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</si>
  <si>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</si>
  <si>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</si>
  <si>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</si>
  <si>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</si>
  <si>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</si>
  <si>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</si>
  <si>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</si>
  <si>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</si>
  <si>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</si>
  <si>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</si>
  <si>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</si>
  <si>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</si>
  <si>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</si>
  <si>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</si>
  <si>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</si>
  <si>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</si>
  <si>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</si>
  <si>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</si>
  <si>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</si>
  <si>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</si>
  <si>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</si>
  <si>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</si>
  <si>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</si>
  <si>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</si>
  <si>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</si>
  <si>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</si>
  <si>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</si>
  <si>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</si>
  <si>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</si>
  <si>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</si>
  <si>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</si>
  <si>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</si>
  <si>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</si>
  <si>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</si>
  <si>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</si>
  <si>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</si>
  <si>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</si>
  <si>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</si>
  <si>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</si>
  <si>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</si>
  <si>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</si>
  <si>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</si>
  <si>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</si>
  <si>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</si>
  <si>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</si>
  <si>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</si>
  <si>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</si>
  <si>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</si>
  <si>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</si>
  <si>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</si>
  <si>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</si>
  <si>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</si>
  <si>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</si>
  <si>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</si>
  <si>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</si>
  <si>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</si>
  <si>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</si>
  <si>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</si>
  <si>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</si>
  <si>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</si>
  <si>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</si>
  <si>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</si>
  <si>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</si>
  <si>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</si>
  <si>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</si>
  <si>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</si>
  <si>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</si>
  <si>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</si>
  <si>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</si>
  <si>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</si>
  <si>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</si>
  <si>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</si>
  <si>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</si>
  <si>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</si>
  <si>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</si>
  <si>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</si>
  <si>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</si>
  <si>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</si>
  <si>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</si>
  <si>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</si>
  <si>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</si>
  <si>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</si>
  <si>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</si>
  <si>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</si>
  <si>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</si>
  <si>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</si>
  <si>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</si>
  <si>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</si>
  <si>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</si>
  <si>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</si>
  <si>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</si>
  <si>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</si>
  <si>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</si>
  <si>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</si>
  <si>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</si>
  <si>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</si>
  <si>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</si>
  <si>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</si>
  <si>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</si>
  <si>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</si>
  <si>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</si>
  <si>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</si>
  <si>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</si>
  <si>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</si>
  <si>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</si>
  <si>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</si>
  <si>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</si>
  <si>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</si>
  <si>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</si>
  <si>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</si>
  <si>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</si>
  <si>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</si>
  <si>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</si>
  <si>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</si>
  <si>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</si>
  <si>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</si>
  <si>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</si>
  <si>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</si>
  <si>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</si>
  <si>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</si>
  <si>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</si>
  <si>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</si>
  <si>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</si>
  <si>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</si>
  <si>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</si>
  <si>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</si>
  <si>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</si>
  <si>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</si>
  <si>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</si>
  <si>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</si>
  <si>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</si>
  <si>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</si>
  <si>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</si>
  <si>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</si>
  <si>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</si>
  <si>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</si>
  <si>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</si>
  <si>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</si>
  <si>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</si>
  <si>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</si>
  <si>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</si>
  <si>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</si>
  <si>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</si>
  <si>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</si>
  <si>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</si>
  <si>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</si>
  <si>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</si>
  <si>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</si>
  <si>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</si>
  <si>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</si>
  <si>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</si>
  <si>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</si>
  <si>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</si>
  <si>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</si>
  <si>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</si>
  <si>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</si>
  <si>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</si>
  <si>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</si>
  <si>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</si>
  <si>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</si>
  <si>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</si>
  <si>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</si>
  <si>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</si>
  <si>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</si>
  <si>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</si>
  <si>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</si>
  <si>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</si>
  <si>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</si>
  <si>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</si>
  <si>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</si>
  <si>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</si>
  <si>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</si>
  <si>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</si>
  <si>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</si>
  <si>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</si>
  <si>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</si>
  <si>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</si>
  <si>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</si>
  <si>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</si>
  <si>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</si>
  <si>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</si>
  <si>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</si>
  <si>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</si>
  <si>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</si>
  <si>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</si>
  <si>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</si>
  <si>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</si>
  <si>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</si>
  <si>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</si>
  <si>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</si>
  <si>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</si>
  <si>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</si>
  <si>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</si>
  <si>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</si>
  <si>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</si>
  <si>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</si>
  <si>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</si>
  <si>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</si>
  <si>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</si>
  <si>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</si>
  <si>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</si>
  <si>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</si>
  <si>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</si>
  <si>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</si>
  <si>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</si>
  <si>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</si>
  <si>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</si>
  <si>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</si>
  <si>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</si>
  <si>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</si>
  <si>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</si>
  <si>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</si>
  <si>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</si>
  <si>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</si>
  <si>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</si>
  <si>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</si>
  <si>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</si>
  <si>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</si>
  <si>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</si>
  <si>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</si>
  <si>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</si>
  <si>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</si>
  <si>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</si>
  <si>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</si>
  <si>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</si>
  <si>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</si>
  <si>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</si>
  <si>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</si>
  <si>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</si>
  <si>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</si>
  <si>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</si>
  <si>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</si>
  <si>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</si>
  <si>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</si>
  <si>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</si>
  <si>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</si>
  <si>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</si>
  <si>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</si>
  <si>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</si>
  <si>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</si>
  <si>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</si>
  <si>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</si>
  <si>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</si>
  <si>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</si>
  <si>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</si>
  <si>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</si>
  <si>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</si>
  <si>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</si>
  <si>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</si>
  <si>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</si>
  <si>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</si>
  <si>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</si>
  <si>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</si>
  <si>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</si>
  <si>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</si>
  <si>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</si>
  <si>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</si>
  <si>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</si>
  <si>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</si>
  <si>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</si>
  <si>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</si>
  <si>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</si>
  <si>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</si>
  <si>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</si>
  <si>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</si>
  <si>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</si>
  <si>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</si>
  <si>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</si>
  <si>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</si>
  <si>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</si>
  <si>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</si>
  <si>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</si>
  <si>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</si>
  <si>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</si>
  <si>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</si>
  <si>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</si>
  <si>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</si>
  <si>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</si>
  <si>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</si>
  <si>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</si>
  <si>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</si>
  <si>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</si>
  <si>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</si>
  <si>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</si>
  <si>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</si>
  <si>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</si>
  <si>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</si>
  <si>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</si>
  <si>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</si>
  <si>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</si>
  <si>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</si>
  <si>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</si>
  <si>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</si>
  <si>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</si>
  <si>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</si>
  <si>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</si>
  <si>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</si>
  <si>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</si>
  <si>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</si>
  <si>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</si>
  <si>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</si>
  <si>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</si>
  <si>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</si>
  <si>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</si>
  <si>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</si>
  <si>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</si>
  <si>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</si>
  <si>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</si>
  <si>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</si>
  <si>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</si>
  <si>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</si>
  <si>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</si>
  <si>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</si>
  <si>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</si>
  <si>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</si>
  <si>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</si>
  <si>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</si>
  <si>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</si>
  <si>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</si>
  <si>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</si>
  <si>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</si>
  <si>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</si>
  <si>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</si>
  <si>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</si>
  <si>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</si>
  <si>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</si>
  <si>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</si>
  <si>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</si>
  <si>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</si>
  <si>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</si>
  <si>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</si>
  <si>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</si>
  <si>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</si>
  <si>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</si>
  <si>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</si>
  <si>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</si>
  <si>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</si>
  <si>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</si>
  <si>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</si>
  <si>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</si>
  <si>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</si>
  <si>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</si>
  <si>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</si>
  <si>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</si>
  <si>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</si>
  <si>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</si>
  <si>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</si>
  <si>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</si>
  <si>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</si>
  <si>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</si>
  <si>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</si>
  <si>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</si>
  <si>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</si>
  <si>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</si>
  <si>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</si>
  <si>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</si>
  <si>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</si>
  <si>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</si>
  <si>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</si>
  <si>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</si>
  <si>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</si>
  <si>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</si>
  <si>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</si>
  <si>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</si>
  <si>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</si>
  <si>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</si>
  <si>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</si>
  <si>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</si>
  <si>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</si>
  <si>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</si>
  <si>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</si>
  <si>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</si>
  <si>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</si>
  <si>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</si>
  <si>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</si>
  <si>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</si>
  <si>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</si>
  <si>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</si>
  <si>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</si>
  <si>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</si>
  <si>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</si>
  <si>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</si>
  <si>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</si>
  <si>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</si>
  <si>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</si>
  <si>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</si>
  <si>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</si>
  <si>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</si>
  <si>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</si>
  <si>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</si>
  <si>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</si>
  <si>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</si>
  <si>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</si>
  <si>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</si>
  <si>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</si>
  <si>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</si>
  <si>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</si>
  <si>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</si>
  <si>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</si>
  <si>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</si>
  <si>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</si>
  <si>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</si>
  <si>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</si>
  <si>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</si>
  <si>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</si>
  <si>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</si>
  <si>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</si>
  <si>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</si>
  <si>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</si>
  <si>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</si>
  <si>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</si>
  <si>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</si>
  <si>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</si>
  <si>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</si>
  <si>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</si>
  <si>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</si>
  <si>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</si>
  <si>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</si>
  <si>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</si>
  <si>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</si>
  <si>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</si>
  <si>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</si>
  <si>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</si>
  <si>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</si>
  <si>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</si>
  <si>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</si>
  <si>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</si>
  <si>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</si>
  <si>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</si>
  <si>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</si>
  <si>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</si>
  <si>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</si>
  <si>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</si>
  <si>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</si>
  <si>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</si>
  <si>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</si>
  <si>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</si>
  <si>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</si>
  <si>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</si>
  <si>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</si>
  <si>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</si>
  <si>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</si>
  <si>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</si>
  <si>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</si>
  <si>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</si>
  <si>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</si>
  <si>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</si>
  <si>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</si>
  <si>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</si>
  <si>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</si>
  <si>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</si>
  <si>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</si>
  <si>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</si>
  <si>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</si>
  <si>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</si>
  <si>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</si>
  <si>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</si>
  <si>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</si>
  <si>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</si>
  <si>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</si>
  <si>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</si>
  <si>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</si>
  <si>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</si>
  <si>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</si>
  <si>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</si>
  <si>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</si>
  <si>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</si>
  <si>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</si>
  <si>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</si>
  <si>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</si>
  <si>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</si>
  <si>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</si>
  <si>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</si>
  <si>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</si>
  <si>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</si>
  <si>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</si>
  <si>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</si>
  <si>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</si>
  <si>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</si>
  <si>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</si>
  <si>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</si>
  <si>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</si>
  <si>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</si>
  <si>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</si>
  <si>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</si>
  <si>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</si>
  <si>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</si>
  <si>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</si>
  <si>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</si>
  <si>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</si>
  <si>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</si>
  <si>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</si>
  <si>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</si>
  <si>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</si>
  <si>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</si>
  <si>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</si>
  <si>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</si>
  <si>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</si>
  <si>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</si>
  <si>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</si>
  <si>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</si>
  <si>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</si>
  <si>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</si>
  <si>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</si>
  <si>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</si>
  <si>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</si>
  <si>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</si>
  <si>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</si>
  <si>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</si>
  <si>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</si>
  <si>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</si>
  <si>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</si>
  <si>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</si>
  <si>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</si>
  <si>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</si>
  <si>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</si>
  <si>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</si>
  <si>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</si>
  <si>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</si>
  <si>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</si>
  <si>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</si>
  <si>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</si>
  <si>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</si>
  <si>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</si>
  <si>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</si>
  <si>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</si>
  <si>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</si>
  <si>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</si>
  <si>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</si>
  <si>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</si>
  <si>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</si>
  <si>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</si>
  <si>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</si>
  <si>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</si>
  <si>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</si>
  <si>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</si>
  <si>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</si>
  <si>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</si>
  <si>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</si>
  <si>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</si>
  <si>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</si>
  <si>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</si>
  <si>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</si>
  <si>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</si>
  <si>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</si>
  <si>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</si>
  <si>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</si>
  <si>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</si>
  <si>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</si>
  <si>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</si>
  <si>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</si>
  <si>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</si>
  <si>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</si>
  <si>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</si>
  <si>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</si>
  <si>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</si>
  <si>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</si>
  <si>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</si>
  <si>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</si>
  <si>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</si>
  <si>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</si>
  <si>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</si>
  <si>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</si>
  <si>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</si>
  <si>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</si>
  <si>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</si>
  <si>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</si>
  <si>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</si>
  <si>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</si>
  <si>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</si>
  <si>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</si>
  <si>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</si>
  <si>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</si>
  <si>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</si>
  <si>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</si>
  <si>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</si>
  <si>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</si>
  <si>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</si>
  <si>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</si>
  <si>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</si>
  <si>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</si>
  <si>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</si>
  <si>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</si>
  <si>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</si>
  <si>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</si>
  <si>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</si>
  <si>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</si>
  <si>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</si>
  <si>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</si>
  <si>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</si>
  <si>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</si>
  <si>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</si>
  <si>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</si>
  <si>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</si>
  <si>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</si>
  <si>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</si>
  <si>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</si>
  <si>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</si>
  <si>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</si>
  <si>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</si>
  <si>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</si>
  <si>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</si>
  <si>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</si>
  <si>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</si>
  <si>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</si>
  <si>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</si>
  <si>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</si>
  <si>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</si>
  <si>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</si>
  <si>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</si>
  <si>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</si>
  <si>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</si>
  <si>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</si>
  <si>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</si>
  <si>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</si>
  <si>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</si>
  <si>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</si>
  <si>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</si>
  <si>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</si>
  <si>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</si>
  <si>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</si>
  <si>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</si>
  <si>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</si>
  <si>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</si>
  <si>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</si>
  <si>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</si>
  <si>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</si>
  <si>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</si>
  <si>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</si>
  <si>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</si>
  <si>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</si>
  <si>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</si>
  <si>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</si>
  <si>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</si>
  <si>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</si>
  <si>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</si>
  <si>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</si>
  <si>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</si>
  <si>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</si>
  <si>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</si>
  <si>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</si>
  <si>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</si>
  <si>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</si>
  <si>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</si>
  <si>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</si>
  <si>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</si>
  <si>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</si>
  <si>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</si>
  <si>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</si>
  <si>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</si>
  <si>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</si>
  <si>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</si>
  <si>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</si>
  <si>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</si>
  <si>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</si>
  <si>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</si>
  <si>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</si>
  <si>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</si>
  <si>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</si>
  <si>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</si>
  <si>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</si>
  <si>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</si>
  <si>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</si>
  <si>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</si>
  <si>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</si>
  <si>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</si>
  <si>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</si>
  <si>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</si>
  <si>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</si>
  <si>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</si>
  <si>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</si>
  <si>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</si>
  <si>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</si>
  <si>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</si>
  <si>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</si>
  <si>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</si>
  <si>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</si>
  <si>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</si>
  <si>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</si>
  <si>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</si>
  <si>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</si>
  <si>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</si>
  <si>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</si>
  <si>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</si>
  <si>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</si>
  <si>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</si>
  <si>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</si>
  <si>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</si>
  <si>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</si>
  <si>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</si>
  <si>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</si>
  <si>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</si>
  <si>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</si>
  <si>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</si>
  <si>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</si>
  <si>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</si>
  <si>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</si>
  <si>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</si>
  <si>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</si>
  <si>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</si>
  <si>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</si>
  <si>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</si>
  <si>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</si>
  <si>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</si>
  <si>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</si>
  <si>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</si>
  <si>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</si>
  <si>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</si>
  <si>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</si>
  <si>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</si>
  <si>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</si>
  <si>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</si>
  <si>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</si>
  <si>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</si>
  <si>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</si>
  <si>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</si>
  <si>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</si>
  <si>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</si>
  <si>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</si>
  <si>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</si>
  <si>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</si>
  <si>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</si>
  <si>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</si>
  <si>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</si>
  <si>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</si>
  <si>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</si>
  <si>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</si>
  <si>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</si>
  <si>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</si>
  <si>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</si>
  <si>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</si>
  <si>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</si>
  <si>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</si>
  <si>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</si>
  <si>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</si>
  <si>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</si>
  <si>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</si>
  <si>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</si>
  <si>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</si>
  <si>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</si>
  <si>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</si>
  <si>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</si>
  <si>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</si>
  <si>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</si>
  <si>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</si>
  <si>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</si>
  <si>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</si>
  <si>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</si>
  <si>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</si>
  <si>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</si>
  <si>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</si>
  <si>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</si>
  <si>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</si>
  <si>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</si>
  <si>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</si>
  <si>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</si>
  <si>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</si>
  <si>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</si>
  <si>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</si>
  <si>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</si>
  <si>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</si>
  <si>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</si>
  <si>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</si>
  <si>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</si>
  <si>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</si>
  <si>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</si>
  <si>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</si>
  <si>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</si>
  <si>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</si>
  <si>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</si>
  <si>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</si>
  <si>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</si>
  <si>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</si>
  <si>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</si>
  <si>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</si>
  <si>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</si>
  <si>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</si>
  <si>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</si>
  <si>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</si>
  <si>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</si>
  <si>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</si>
  <si>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</si>
  <si>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</si>
  <si>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</si>
  <si>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</si>
  <si>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</si>
  <si>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</si>
  <si>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</si>
  <si>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</si>
  <si>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</si>
  <si>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</si>
  <si>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</si>
  <si>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</si>
  <si>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</si>
  <si>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</si>
  <si>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</si>
  <si>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</si>
  <si>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</si>
  <si>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</si>
  <si>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</si>
  <si>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</si>
  <si>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</si>
  <si>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</si>
  <si>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</si>
  <si>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</si>
  <si>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</si>
  <si>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</si>
  <si>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</si>
  <si>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</si>
  <si>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</si>
  <si>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</si>
  <si>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</si>
  <si>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</si>
  <si>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</si>
  <si>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</si>
  <si>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</si>
  <si>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</si>
  <si>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</si>
  <si>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</si>
  <si>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</si>
  <si>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</si>
  <si>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</si>
  <si>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</si>
  <si>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</si>
  <si>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</si>
  <si>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</si>
  <si>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</si>
  <si>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</si>
  <si>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</si>
  <si>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</si>
  <si>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</si>
  <si>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</si>
  <si>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</si>
  <si>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</si>
  <si>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</si>
  <si>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</si>
  <si>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</si>
  <si>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</si>
  <si>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</si>
  <si>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</si>
  <si>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</si>
  <si>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</si>
  <si>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</si>
  <si>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</si>
  <si>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</si>
  <si>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</si>
  <si>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</si>
  <si>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</si>
  <si>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</si>
  <si>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</si>
  <si>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</si>
  <si>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</si>
  <si>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</si>
  <si>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</si>
  <si>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</si>
  <si>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</si>
  <si>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</si>
  <si>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</si>
  <si>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</si>
  <si>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</si>
  <si>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</si>
  <si>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</si>
  <si>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</si>
  <si>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</si>
  <si>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</si>
  <si>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</si>
  <si>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</si>
  <si>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</si>
  <si>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</si>
  <si>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</si>
  <si>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</si>
  <si>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</si>
  <si>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</si>
  <si>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</si>
  <si>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</si>
  <si>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</si>
  <si>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</si>
  <si>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</si>
  <si>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</si>
  <si>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</si>
  <si>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</si>
  <si>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</si>
  <si>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</si>
  <si>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</si>
  <si>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</si>
  <si>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</si>
  <si>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</si>
  <si>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</si>
  <si>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</si>
  <si>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</si>
  <si>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</si>
  <si>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</si>
  <si>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</si>
  <si>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</si>
  <si>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</si>
  <si>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</si>
  <si>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</si>
  <si>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</si>
  <si>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</si>
  <si>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Avg. Donation</t>
  </si>
  <si>
    <t>Sub-categoring</t>
  </si>
  <si>
    <t>Parent-category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</si>
  <si>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</si>
  <si>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</si>
  <si>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</si>
  <si>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</si>
  <si>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</si>
  <si>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</si>
  <si>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</si>
  <si>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</si>
  <si>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</si>
  <si>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</si>
  <si>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</si>
  <si>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</si>
  <si>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</si>
  <si>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</si>
  <si>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</si>
  <si>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</si>
  <si>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</si>
  <si>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</si>
  <si>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</si>
  <si>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</si>
  <si>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</si>
  <si>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</si>
  <si>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</si>
  <si>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</si>
  <si>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</si>
  <si>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</si>
  <si>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</si>
  <si>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</si>
  <si>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</si>
  <si>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</si>
  <si>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</si>
  <si>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</si>
  <si>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</si>
  <si>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</si>
  <si>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</si>
  <si>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</si>
  <si>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</si>
  <si>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</si>
  <si>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</si>
  <si>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</si>
  <si>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</si>
  <si>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</si>
  <si>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</si>
  <si>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</si>
  <si>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</si>
  <si>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</si>
  <si>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</si>
  <si>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</si>
  <si>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</si>
  <si>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</si>
  <si>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</si>
  <si>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</si>
  <si>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</si>
  <si>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</si>
  <si>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Number successful</t>
  </si>
  <si>
    <t>Number failed</t>
  </si>
  <si>
    <t>number canceled</t>
  </si>
  <si>
    <t>Percent successful</t>
  </si>
  <si>
    <t>Percent failed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</si>
  <si>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</si>
  <si>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</si>
  <si>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</si>
  <si>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</si>
  <si>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</si>
  <si>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</si>
  <si>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</si>
  <si>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</si>
  <si>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</si>
  <si>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</si>
  <si>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</si>
  <si>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t>Percent canceled</t>
  </si>
  <si>
    <t>Total Projects</t>
  </si>
  <si>
    <t>&gt;5000</t>
  </si>
  <si>
    <t>Outcome</t>
  </si>
  <si>
    <t>Backers Count</t>
  </si>
  <si>
    <t>Mean</t>
  </si>
  <si>
    <t>Median</t>
  </si>
  <si>
    <t>Max</t>
  </si>
  <si>
    <t>Min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</si>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</sst>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18" fillId="0" borderId="0" xfId="0" applyFont="1" applyAlignment="1">
      <alignment horizontal="left" vertical="center"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[CrowdfundingBookupdated.xlsx]Category Pivot Chart!PivotTable1</c:name>
    <c:fmtId val="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27F-893A-061D4122539A}"/>
            </c:ext>
          </c:extLst>
        </c:ser>
        <c:ser>
          <c:idx val="1"/>
          <c:order val="1"/>
          <c:tx>
            <c:strRef>
              <c:f>'Category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B-427F-893A-061D4122539A}"/>
            </c:ext>
          </c:extLst>
        </c:ser>
        <c:ser>
          <c:idx val="2"/>
          <c:order val="2"/>
          <c:tx>
            <c:strRef>
              <c:f>'Category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B-427F-893A-061D4122539A}"/>
            </c:ext>
          </c:extLst>
        </c:ser>
        <c:ser>
          <c:idx val="3"/>
          <c:order val="3"/>
          <c:tx>
            <c:strRef>
              <c:f>'Category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2-446D-8BF4-609400FB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333048"/>
        <c:axId val="1227336656"/>
      </c:barChart>
      <c:catAx>
        <c:axId val="122733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36656"/>
        <c:crosses val="autoZero"/>
        <c:auto val="1"/>
        <c:lblAlgn val="ctr"/>
        <c:lblOffset val="100"/>
        <c:noMultiLvlLbl val="0"/>
      </c:catAx>
      <c:valAx>
        <c:axId val="12273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3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[CrowdfundingBookupdated.xlsx]Sub-category Pivot Chart!PivotTable2</c:name>
    <c:fmtId val="5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7-4515-B086-A7B290D9C602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7-4515-B086-A7B290D9C602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7-4515-B086-A7B290D9C602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A-4136-B915-B4888AB1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297504"/>
        <c:axId val="1240303736"/>
      </c:barChart>
      <c:catAx>
        <c:axId val="12402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3736"/>
        <c:crosses val="autoZero"/>
        <c:auto val="1"/>
        <c:lblAlgn val="ctr"/>
        <c:lblOffset val="100"/>
        <c:noMultiLvlLbl val="0"/>
      </c:catAx>
      <c:valAx>
        <c:axId val="12403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[CrowdfundingBookupdated.xlsx]Line Chart!PivotTable6</c:name>
    <c:fmtId val="7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3-4FC7-9811-A28785990969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3-4FC7-9811-A28785990969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3-4FC7-9811-A2878599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86552"/>
        <c:axId val="310983928"/>
      </c:lineChart>
      <c:catAx>
        <c:axId val="3109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3928"/>
        <c:crosses val="autoZero"/>
        <c:auto val="1"/>
        <c:lblAlgn val="ctr"/>
        <c:lblOffset val="100"/>
        <c:noMultiLvlLbl val="0"/>
      </c:catAx>
      <c:valAx>
        <c:axId val="3109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[CrowdfundingBookupdated.xlsx]Sheet4!PivotTable5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film &amp; video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11</c:v>
                </c:pt>
                <c:pt idx="1">
                  <c:v>60</c:v>
                </c:pt>
                <c:pt idx="2">
                  <c:v>5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CA7-8FAB-6CBFFCB21CB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D-4CA7-8FAB-6CBFFCB21CB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games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D-4CA7-8FAB-6CBFFCB21CB2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journalism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D-4CA7-8FAB-6CBFFCB21CB2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music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Sheet4!$F$5:$F$9</c:f>
              <c:numCache>
                <c:formatCode>General</c:formatCode>
                <c:ptCount val="4"/>
                <c:pt idx="0">
                  <c:v>10</c:v>
                </c:pt>
                <c:pt idx="1">
                  <c:v>66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4D-4CA7-8FAB-6CBFFCB21CB2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photography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Sheet4!$G$5:$G$9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4D-4CA7-8FAB-6CBFFCB21CB2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publishing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Sheet4!$H$5:$H$9</c:f>
              <c:numCache>
                <c:formatCode>General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4D-4CA7-8FAB-6CBFFCB21CB2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Sheet4!$I$5:$I$9</c:f>
              <c:numCache>
                <c:formatCode>General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4D-4CA7-8FAB-6CBFFCB21CB2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theater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Sheet4!$J$5:$J$9</c:f>
              <c:numCache>
                <c:formatCode>General</c:formatCode>
                <c:ptCount val="4"/>
                <c:pt idx="0">
                  <c:v>23</c:v>
                </c:pt>
                <c:pt idx="1">
                  <c:v>132</c:v>
                </c:pt>
                <c:pt idx="2">
                  <c:v>2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4D-4CA7-8FAB-6CBFFCB2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0.58620689655172409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3-43E9-973E-6911D3DCE65F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0.35172413793103446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3-43E9-973E-6911D3DCE65F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6.2068965517241378E-2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3-43E9-973E-6911D3DC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71960"/>
        <c:axId val="1084274584"/>
      </c:lineChart>
      <c:catAx>
        <c:axId val="108427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74584"/>
        <c:crosses val="autoZero"/>
        <c:auto val="1"/>
        <c:lblAlgn val="ctr"/>
        <c:lblOffset val="100"/>
        <c:noMultiLvlLbl val="0"/>
      </c:catAx>
      <c:valAx>
        <c:axId val="10842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0</xdr:row>
      <xdr:rowOff>57149</xdr:rowOff>
    </xdr:from>
    <xdr:to>
      <xdr:col>23</xdr:col>
      <xdr:colOff>123825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12D06-D96F-43E3-9A2A-95A9716F7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261935</xdr:colOff>
      <xdr:row>0</xdr:row>
      <xdr:rowOff>114300</xdr:rowOff>
    </xdr:from>
    <xdr:to>
      <xdr:col>23</xdr:col>
      <xdr:colOff>581024</xdr:colOff>
      <xdr:row>30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7DF9A-8E38-48B5-8875-9682EC70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0</xdr:row>
      <xdr:rowOff>142874</xdr:rowOff>
    </xdr:from>
    <xdr:to>
      <xdr:col>16</xdr:col>
      <xdr:colOff>209550</xdr:colOff>
      <xdr:row>22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90398-4829-4ADD-95BB-3B9A097E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38100</xdr:rowOff>
    </xdr:from>
    <xdr:to>
      <xdr:col>15</xdr:col>
      <xdr:colOff>1095374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913F7-E534-44AC-A03C-571C8F19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0</xdr:row>
      <xdr:rowOff>47624</xdr:rowOff>
    </xdr:from>
    <xdr:to>
      <xdr:col>21</xdr:col>
      <xdr:colOff>666750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AABE-0782-488A-9747-6CE750F3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A Elequin" refreshedDate="44908.561444907406" createdVersion="7" refreshedVersion="7" minRefreshableVersion="3" recordCount="1001" xr:uid="{F6FEB730-9F61-4D14-8B22-0E61C2FB704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.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A Elequin" refreshedDate="44908.573944097225" createdVersion="7" refreshedVersion="7" minRefreshableVersion="3" recordCount="1000" xr:uid="{12491B62-2A03-45B4-B013-4A6D1C1C9E5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g.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ing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t A Elequin" refreshedDate="44908.613962152776" backgroundQuery="1" createdVersion="7" refreshedVersion="7" minRefreshableVersion="3" recordCount="0" supportSubquery="1" supportAdvancedDrill="1" xr:uid="{37786540-F5E2-41EF-9130-F837F6935C9F}">
  <cacheSource type="external" connectionId="1"/>
  <cacheFields count="5">
    <cacheField name="[Range].[Date created conversion (Year)].[Date created conversion (Year)]" caption="Date created conversion (Year)" numFmtId="0" hierarchy="23" level="1">
      <sharedItems containsSemiMixedTypes="0" containsNonDate="0" containsString="0"/>
    </cacheField>
    <cacheField name="[Range].[Parent-category].[Parent-category]" caption="Parent-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30" level="32767"/>
    <cacheField name="[Range].[Date created conversion (Month)].[Date created conversion (Month)]" caption="Date created conversion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% Funded]" caption="% Funded" attribute="1" defaultMemberUniqueName="[Range].[% Funded].[All]" allUniqueName="[Range].[%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g. Donation]" caption="Avg. Donation" attribute="1" defaultMemberUniqueName="[Range].[Avg. Donation].[All]" allUniqueName="[Range].[Avg.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-category]" caption="Parent-category" attribute="1" defaultMemberUniqueName="[Range].[Parent-category].[All]" allUniqueName="[Range].[Parent-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ing]" caption="Sub-categoring" attribute="1" defaultMemberUniqueName="[Range].[Sub-categoring].[All]" allUniqueName="[Range].[Sub-categoring].[All]" dimensionUniqueName="[Range]" displayFolder="" count="0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0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oal]" caption="Sum of goa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x v="1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x v="2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x v="3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x v="4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x v="5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x v="6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x v="7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x v="8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x v="9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x v="10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x v="11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x v="12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x v="13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x v="14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x v="15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x v="16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x v="17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x v="18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x v="19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x v="20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x v="21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x v="22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x v="23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x v="24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x v="25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x v="26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x v="27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x v="28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x v="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x v="30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x v="31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x v="3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x v="33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x v="34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x v="35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x v="36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x v="37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x v="3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x v="39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x v="40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x v="41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x v="42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x v="43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x v="44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x v="45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x v="46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x v="47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x v="48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x v="49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x v="50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x v="51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x v="52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x v="53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x v="54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x v="55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x v="56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x v="57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x v="58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x v="59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x v="60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x v="61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x v="62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x v="63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x v="64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x v="6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x v="66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x v="67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x v="68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x v="69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x v="70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x v="71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x v="72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x v="73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x v="74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x v="75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x v="76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x v="77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x v="7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x v="79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x v="80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x v="81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x v="82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x v="83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x v="84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x v="85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x v="86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x v="87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x v="88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x v="89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x v="90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x v="91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x v="92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x v="93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x v="94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x v="95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x v="96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x v="97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x v="98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x v="99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x v="100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x v="101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x v="102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x v="103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x v="10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x v="105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x v="106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x v="107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x v="108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x v="109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x v="110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x v="111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x v="112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x v="113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x v="114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x v="115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x v="116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x v="117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x v="118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x v="119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x v="120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x v="121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x v="122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x v="123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x v="124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x v="125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x v="126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x v="127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x v="128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x v="129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x v="130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x v="131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x v="132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x v="133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x v="134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x v="135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x v="136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x v="137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x v="138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x v="139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x v="140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x v="14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x v="142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x v="143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x v="144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x v="145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x v="146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x v="147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x v="148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x v="1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x v="100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x v="150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x v="151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x v="152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x v="15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x v="154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x v="155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x v="156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x v="157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x v="158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x v="159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x v="160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x v="161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x v="162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x v="16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x v="164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x v="165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x v="166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x v="167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x v="1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x v="169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x v="170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x v="171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x v="172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x v="173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x v="174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x v="175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x v="176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x v="177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x v="178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x v="179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x v="180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x v="181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x v="182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x v="183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x v="184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x v="185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x v="186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x v="187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x v="188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x v="189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x v="190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x v="191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x v="192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x v="193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x v="194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x v="195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x v="196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x v="197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x v="198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x v="50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x v="199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x v="200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x v="201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x v="202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x v="203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x v="204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x v="205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x v="206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x v="207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x v="208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x v="209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x v="210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x v="211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x v="212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x v="213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x v="214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x v="215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x v="216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x v="217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x v="218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x v="219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x v="220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x v="221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x v="222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x v="223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x v="224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x v="225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x v="226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x v="227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x v="228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x v="229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x v="230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x v="231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x v="232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x v="233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x v="234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x v="23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x v="236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x v="237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x v="238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x v="239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x v="240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x v="241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x v="242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x v="243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x v="244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x v="245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x v="246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x v="247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x v="248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x v="249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x v="250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x v="25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x v="252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x v="253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x v="254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x v="255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x v="256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x v="257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x v="258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x v="259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x v="260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x v="26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x v="262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x v="263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x v="264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x v="265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x v="266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x v="267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x v="268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x v="269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x v="270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x v="271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x v="272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x v="27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x v="274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x v="275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x v="276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x v="277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x v="278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x v="279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x v="280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x v="281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x v="282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x v="283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x v="284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x v="285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x v="286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x v="287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x v="288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x v="289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x v="290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x v="291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x v="292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x v="293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x v="294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x v="295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x v="296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x v="297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x v="298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x v="299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x v="300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x v="301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x v="30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x v="303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x v="304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x v="305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x v="306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x v="307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x v="308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x v="309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x v="310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x v="31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x v="31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x v="313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x v="314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x v="315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x v="316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x v="317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x v="318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x v="31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x v="320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x v="321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x v="322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x v="323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x v="324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x v="325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x v="326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x v="327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x v="328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x v="329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x v="330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x v="331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x v="332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x v="333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x v="334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x v="335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x v="336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x v="337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x v="338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x v="339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x v="340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x v="341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x v="342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x v="343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x v="344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x v="345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x v="346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x v="347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x v="298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x v="348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x v="349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x v="350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x v="351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x v="352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x v="353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x v="354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x v="355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x v="356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x v="357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x v="358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x v="359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x v="360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x v="361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x v="362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x v="363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x v="364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x v="365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x v="366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x v="367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x v="368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x v="369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x v="370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x v="371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x v="372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x v="373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x v="374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x v="375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x v="376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x v="377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x v="378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x v="379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x v="380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x v="381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x v="382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x v="383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x v="384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x v="385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x v="386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x v="387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x v="388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x v="389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x v="390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x v="391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x v="392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x v="393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x v="394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x v="395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x v="396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x v="50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x v="397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x v="398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x v="399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x v="400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x v="401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x v="402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x v="403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x v="404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x v="405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x v="406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x v="407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x v="408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x v="409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x v="410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x v="411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x v="412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x v="413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x v="414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x v="415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x v="41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x v="417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x v="418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x v="419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x v="420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x v="421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x v="422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x v="42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x v="42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x v="425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x v="426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x v="427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x v="428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x v="429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x v="430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x v="431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x v="43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x v="433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x v="434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x v="435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x v="436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x v="437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x v="438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x v="439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x v="440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x v="441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x v="442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x v="443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x v="444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x v="445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x v="446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x v="447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x v="448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x v="449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x v="450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x v="45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x v="452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x v="453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x v="454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x v="455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x v="456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x v="457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x v="458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x v="459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x v="460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x v="461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x v="46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x v="463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x v="464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x v="465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x v="466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x v="467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x v="468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x v="469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x v="470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x v="471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x v="472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x v="47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x v="474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x v="475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x v="476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x v="477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x v="478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x v="479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x v="480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x v="481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x v="482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x v="483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x v="484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x v="485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x v="486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x v="487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x v="488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x v="489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x v="490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x v="491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x v="492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x v="493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x v="494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x v="495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x v="0"/>
    <x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x v="496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x v="497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x v="498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x v="499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x v="500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x v="501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x v="502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x v="503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x v="504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x v="505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x v="506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x v="507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x v="508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x v="509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x v="510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x v="511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x v="512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x v="513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x v="514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x v="515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x v="516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x v="51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x v="518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x v="519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x v="520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x v="521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x v="522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x v="523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x v="524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x v="525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x v="526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x v="527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x v="528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x v="529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x v="530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x v="531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x v="532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x v="533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x v="534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x v="535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x v="536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x v="537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x v="538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x v="539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x v="540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x v="541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x v="542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x v="543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x v="544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x v="446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x v="545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x v="546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x v="547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x v="548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x v="549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x v="550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x v="551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x v="552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x v="55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x v="554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x v="555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x v="556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x v="557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x v="558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x v="559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x v="560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x v="561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x v="562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x v="56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x v="564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x v="565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x v="566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x v="567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x v="568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x v="569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x v="570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x v="571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x v="572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x v="573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x v="574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x v="575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x v="576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x v="577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x v="578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x v="579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x v="580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x v="581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x v="582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x v="583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x v="584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x v="585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x v="586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x v="587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x v="588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x v="589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x v="590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x v="591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x v="592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x v="593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x v="298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x v="594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x v="595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x v="596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x v="597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x v="598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x v="599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x v="600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x v="601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x v="602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x v="603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x v="604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x v="605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x v="606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x v="607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x v="608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x v="609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x v="610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x v="611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x v="612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x v="613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x v="614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x v="615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x v="616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x v="617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x v="618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x v="619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x v="620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x v="621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x v="622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x v="623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x v="624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x v="625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x v="626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x v="627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x v="628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x v="62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x v="630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x v="631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x v="632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x v="633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x v="634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x v="635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x v="636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x v="637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x v="638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x v="639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x v="640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x v="641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x v="642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x v="50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x v="643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x v="64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x v="645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x v="646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x v="647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x v="648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x v="649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x v="650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x v="651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x v="652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x v="65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x v="654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x v="655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x v="656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x v="657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x v="658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x v="659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x v="660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x v="661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x v="662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x v="663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x v="664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x v="665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x v="666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x v="667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x v="668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x v="669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x v="670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x v="671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x v="672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x v="673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x v="674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x v="675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x v="676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x v="677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x v="678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x v="679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x v="680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x v="681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x v="682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x v="683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x v="684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x v="685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x v="686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x v="687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x v="688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x v="689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x v="690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x v="691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x v="248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x v="692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x v="693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x v="694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x v="695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x v="696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x v="697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x v="698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x v="699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x v="700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x v="701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x v="702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x v="703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x v="704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x v="705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x v="706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x v="707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x v="708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x v="709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x v="710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x v="711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x v="712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x v="713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x v="714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x v="715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x v="716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x v="717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x v="718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x v="719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x v="720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x v="721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x v="722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x v="723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x v="724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x v="725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x v="726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x v="727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x v="728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x v="729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x v="730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x v="731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x v="732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x v="733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x v="734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x v="735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x v="736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x v="737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x v="738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x v="739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x v="740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x v="100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x v="741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x v="742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x v="743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x v="744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x v="745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x v="746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x v="747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x v="748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x v="749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x v="750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x v="751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x v="752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x v="753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x v="754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x v="755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x v="756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x v="757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x v="758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x v="759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x v="760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x v="761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x v="762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x v="763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x v="764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x v="765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x v="766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x v="767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x v="768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x v="769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x v="770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x v="771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x v="772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x v="773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x v="774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x v="775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x v="776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x v="777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x v="778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x v="779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x v="780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x v="781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x v="782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x v="783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x v="784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x v="785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x v="786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x v="787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x v="788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x v="789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x v="100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x v="790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x v="791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x v="792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x v="793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x v="794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x v="795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x v="796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x v="797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x v="798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x v="799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x v="800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x v="801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x v="802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x v="803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x v="804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x v="805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x v="806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x v="807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x v="808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x v="809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x v="810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x v="811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x v="812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x v="813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x v="814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x v="815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x v="81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x v="817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x v="818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x v="819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x v="820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x v="821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x v="822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x v="823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x v="824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x v="825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x v="826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x v="827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x v="828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x v="82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x v="830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x v="831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x v="832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x v="833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x v="834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x v="83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x v="836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x v="837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x v="838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x v="100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x v="839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x v="840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x v="841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x v="842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x v="843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x v="844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x v="845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x v="846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x v="847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x v="848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x v="849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x v="850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x v="851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x v="852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x v="853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x v="854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x v="855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x v="856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x v="857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x v="858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x v="859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x v="860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x v="861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x v="862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x v="863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x v="86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x v="865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x v="866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x v="867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x v="868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x v="869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x v="8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x v="871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x v="872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x v="873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x v="874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x v="875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x v="876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x v="877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x v="878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x v="879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x v="880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x v="881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x v="882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x v="883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x v="884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x v="885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x v="886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x v="887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x v="50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x v="888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x v="889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x v="890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x v="891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x v="892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x v="893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x v="894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x v="895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x v="896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x v="897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x v="898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x v="899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x v="900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x v="901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x v="902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x v="903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x v="904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x v="905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x v="906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x v="907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x v="908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x v="909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x v="910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x v="911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x v="912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x v="913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x v="914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x v="915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x v="916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x v="917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x v="918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x v="919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x v="920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x v="921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x v="922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x v="923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x v="924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x v="925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x v="926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x v="927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x v="928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x v="929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x v="930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x v="931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x v="932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x v="933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x v="934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x v="935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x v="936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x v="298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x v="93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x v="938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x v="939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x v="940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x v="941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x v="942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x v="943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x v="944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x v="945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x v="946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x v="947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x v="948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x v="949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x v="950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x v="951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x v="952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x v="953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x v="954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x v="955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x v="956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x v="957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x v="95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x v="959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x v="960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x v="961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x v="962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x v="963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x v="964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x v="965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x v="966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x v="967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x v="968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x v="969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x v="970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x v="971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x v="972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x v="973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x v="974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x v="975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x v="976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x v="977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x v="978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x v="979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x v="980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x v="981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x v="982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x v="983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x v="984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x v="985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16E4-7B19-4B6D-98EE-11CCC8EC835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69642-3F1E-43DC-9B62-A6747FB98D7D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1AACE-5A54-4515-A890-C49C4EBD7CFC}" name="PivotTable6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18" name="[Range].[Parent-category].[All]" cap="All"/>
    <pageField fld="0" hier="23" name="[Range].[Date created conversion (Year)].[All]" cap="All"/>
  </pageFields>
  <dataFields count="1">
    <dataField name="Count of outcome" fld="3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6B30A-AEE0-4435-AEF2-56C203590BF4}" name="PivotTable5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K9" firstHeaderRow="1" firstDataRow="2" firstDataCol="1"/>
  <pivotFields count="18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outcome" fld="6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345D-4105-4C2C-9DB2-B644A1ED21F4}">
  <dimension ref="A1:H14"/>
  <sheetViews>
    <sheetView tabSelected="1" workbookViewId="0">
      <selection activeCell="I20" sqref="I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8" x14ac:dyDescent="0.25">
      <c r="A1" s="7" t="s">
        <v>6</v>
      </c>
      <c r="B1" t="s">
        <v>2070</v>
      </c>
    </row>
    <row r="3" spans="1:8" x14ac:dyDescent="0.25">
      <c r="A3" s="7" t="s">
        <v>2069</v>
      </c>
      <c r="B3" s="7" t="s">
        <v>2068</v>
      </c>
    </row>
    <row r="4" spans="1:8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8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G5" s="13">
        <f>GETPIVOTDATA("outcome",$A$3,"outcome","successful","Parent-category","film &amp; video")/GETPIVOTDATA("outcome",$A$3,"Parent-category","film &amp; video")</f>
        <v>0.5730337078651685</v>
      </c>
      <c r="H5" s="13">
        <f>GETPIVOTDATA("outcome",$A$3,"outcome","failed","Parent-category","film &amp; video")/GETPIVOTDATA("outcome",$A$3,"Parent-category","film &amp; video")</f>
        <v>0.33707865168539325</v>
      </c>
    </row>
    <row r="6" spans="1:8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  <c r="G6" s="13">
        <f>GETPIVOTDATA("outcome",$A$3,"outcome","successful","Parent-category","food")/GETPIVOTDATA("outcome",$A$3,"Parent-category","food")</f>
        <v>0.47826086956521741</v>
      </c>
      <c r="H6" s="13">
        <f>GETPIVOTDATA("outcome",$A$3,"outcome","failed","Parent-category","food")/GETPIVOTDATA("outcome",$A$3,"Parent-category","food")</f>
        <v>0.43478260869565216</v>
      </c>
    </row>
    <row r="7" spans="1:8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G7" s="13">
        <f>GETPIVOTDATA("outcome",$A$3,"outcome","successful","Parent-category","games")/GETPIVOTDATA("outcome",$A$3,"Parent-category","games")</f>
        <v>0.4375</v>
      </c>
      <c r="H7" s="13">
        <f>GETPIVOTDATA("outcome",$A$3,"outcome","failed","Parent-category","games")/GETPIVOTDATA("outcome",$A$3,"Parent-category","games")</f>
        <v>0.47916666666666669</v>
      </c>
    </row>
    <row r="8" spans="1:8" x14ac:dyDescent="0.25">
      <c r="A8" s="8" t="s">
        <v>2064</v>
      </c>
      <c r="B8" s="9"/>
      <c r="C8" s="9"/>
      <c r="D8" s="9"/>
      <c r="E8" s="9">
        <v>4</v>
      </c>
      <c r="F8" s="9">
        <v>4</v>
      </c>
      <c r="G8" s="13">
        <f>GETPIVOTDATA("outcome",$A$3,"outcome","successful","Parent-category","journalism")/GETPIVOTDATA("outcome",$A$3,"Parent-category","journalism")</f>
        <v>1</v>
      </c>
      <c r="H8" s="13">
        <v>0</v>
      </c>
    </row>
    <row r="9" spans="1:8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  <c r="G9" s="13">
        <f>GETPIVOTDATA("outcome",$A$3,"outcome","successful","Parent-category","music")/GETPIVOTDATA("outcome",$A$3,"Parent-category","music")</f>
        <v>0.56571428571428573</v>
      </c>
      <c r="H9" s="13">
        <f>GETPIVOTDATA("outcome",$A$3,"outcome","failed","Parent-category","music")/GETPIVOTDATA("outcome",$A$3,"Parent-category","music")</f>
        <v>0.37714285714285717</v>
      </c>
    </row>
    <row r="10" spans="1:8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G10" s="13">
        <f>GETPIVOTDATA("outcome",$A$3,"outcome","successful","Parent-category","photography")/GETPIVOTDATA("outcome",$A$3,"Parent-category","photography")</f>
        <v>0.61904761904761907</v>
      </c>
      <c r="H10" s="13">
        <f>GETPIVOTDATA("outcome",$A$3,"outcome","failed","Parent-category","photography")/GETPIVOTDATA("outcome",$A$3,"Parent-category","photography")</f>
        <v>0.26190476190476192</v>
      </c>
    </row>
    <row r="11" spans="1:8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G11" s="13">
        <f>GETPIVOTDATA("outcome",$A$3,"outcome","successful","Parent-category","publishing")/GETPIVOTDATA("outcome",$A$3,"Parent-category","publishing")</f>
        <v>0.59701492537313428</v>
      </c>
      <c r="H11" s="13">
        <f>GETPIVOTDATA("outcome",$A$3,"outcome","failed","Parent-category","publishing")/GETPIVOTDATA("outcome",$A$3,"Parent-category","publishing")</f>
        <v>0.35820895522388058</v>
      </c>
    </row>
    <row r="12" spans="1:8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G12" s="13">
        <f>GETPIVOTDATA("outcome",$A$3,"outcome","successful","Parent-category","technology")/GETPIVOTDATA("outcome",$A$3,"Parent-category","technology")</f>
        <v>0.66666666666666663</v>
      </c>
      <c r="H12" s="13">
        <f>GETPIVOTDATA("outcome",$A$3,"outcome","failed","Parent-category","technology")/GETPIVOTDATA("outcome",$A$3,"Parent-category","technology")</f>
        <v>0.29166666666666669</v>
      </c>
    </row>
    <row r="13" spans="1:8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G13" s="13">
        <f>GETPIVOTDATA("outcome",$A$3,"outcome","successful","Parent-category","theater")/GETPIVOTDATA("outcome",$A$3,"Parent-category","theater")</f>
        <v>0.54360465116279066</v>
      </c>
      <c r="H13" s="13">
        <f>GETPIVOTDATA("outcome",$A$3,"outcome","failed","Parent-category","theater")/GETPIVOTDATA("outcome",$A$3,"Parent-category","theater")</f>
        <v>0.38372093023255816</v>
      </c>
    </row>
    <row r="14" spans="1:8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pageSetup orientation="portrait" r:id="rId2"/>
  <customProperties>
    <customPr name="LastActive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81A6-1D81-48D1-9946-0482E8C95A6D}">
  <dimension ref="A1:F30"/>
  <sheetViews>
    <sheetView workbookViewId="0">
      <selection activeCell="A35" sqref="A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2032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pageSetup orientation="portrait" r:id="rId2"/>
  <customProperties>
    <customPr name="LastActive" r:id="rId3"/>
  </customPropertie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D511-B8C7-4A00-852E-1A3633E53402}">
  <dimension ref="A1:E18"/>
  <sheetViews>
    <sheetView workbookViewId="0">
      <selection activeCell="Q22" sqref="Q22"/>
    </sheetView>
  </sheetViews>
  <sheetFormatPr defaultRowHeight="15.75" x14ac:dyDescent="0.25"/>
  <cols>
    <col min="1" max="1" width="2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2" width="4.875" bestFit="1" customWidth="1"/>
    <col min="13" max="13" width="11" bestFit="1" customWidth="1"/>
    <col min="14" max="121" width="15.25" bestFit="1" customWidth="1"/>
    <col min="122" max="122" width="11" bestFit="1" customWidth="1"/>
    <col min="123" max="878" width="15.25" bestFit="1" customWidth="1"/>
    <col min="879" max="879" width="11" bestFit="1" customWidth="1"/>
  </cols>
  <sheetData>
    <row r="1" spans="1:5" x14ac:dyDescent="0.25">
      <c r="A1" s="7" t="s">
        <v>2032</v>
      </c>
      <c r="B1" t="s" vm="2">
        <v>2085</v>
      </c>
    </row>
    <row r="2" spans="1:5" x14ac:dyDescent="0.25">
      <c r="A2" s="7" t="s">
        <v>2086</v>
      </c>
      <c r="B2" t="s" vm="1">
        <v>2085</v>
      </c>
    </row>
    <row r="4" spans="1:5" x14ac:dyDescent="0.25">
      <c r="A4" s="7" t="s">
        <v>2069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pageSetup orientation="portrait" r:id="rId2"/>
  <customProperties>
    <customPr name="LastActive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FA58-99E2-4DA7-B0B2-0F7F836A479C}">
  <dimension ref="A3:K9"/>
  <sheetViews>
    <sheetView workbookViewId="0">
      <selection activeCell="A4" sqref="A4:K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4.875" bestFit="1" customWidth="1"/>
    <col min="4" max="4" width="6.25" bestFit="1" customWidth="1"/>
    <col min="5" max="5" width="9.875" bestFit="1" customWidth="1"/>
    <col min="6" max="6" width="5.75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3" spans="1:11" x14ac:dyDescent="0.25">
      <c r="A3" s="7" t="s">
        <v>2069</v>
      </c>
      <c r="B3" s="7" t="s">
        <v>2068</v>
      </c>
    </row>
    <row r="4" spans="1:11" x14ac:dyDescent="0.25">
      <c r="A4" s="7" t="s">
        <v>2066</v>
      </c>
      <c r="B4" t="s">
        <v>2041</v>
      </c>
      <c r="C4" t="s">
        <v>2033</v>
      </c>
      <c r="D4" t="s">
        <v>2050</v>
      </c>
      <c r="E4" t="s">
        <v>2064</v>
      </c>
      <c r="F4" t="s">
        <v>2035</v>
      </c>
      <c r="G4" t="s">
        <v>2054</v>
      </c>
      <c r="H4" t="s">
        <v>2047</v>
      </c>
      <c r="I4" t="s">
        <v>2037</v>
      </c>
      <c r="J4" t="s">
        <v>2039</v>
      </c>
      <c r="K4" t="s">
        <v>2067</v>
      </c>
    </row>
    <row r="5" spans="1:11" x14ac:dyDescent="0.25">
      <c r="A5" s="8" t="s">
        <v>74</v>
      </c>
      <c r="B5" s="9">
        <v>11</v>
      </c>
      <c r="C5" s="9">
        <v>4</v>
      </c>
      <c r="D5" s="9">
        <v>1</v>
      </c>
      <c r="E5" s="9"/>
      <c r="F5" s="9">
        <v>10</v>
      </c>
      <c r="G5" s="9">
        <v>4</v>
      </c>
      <c r="H5" s="9">
        <v>2</v>
      </c>
      <c r="I5" s="9">
        <v>2</v>
      </c>
      <c r="J5" s="9">
        <v>23</v>
      </c>
      <c r="K5" s="9">
        <v>57</v>
      </c>
    </row>
    <row r="6" spans="1:11" x14ac:dyDescent="0.25">
      <c r="A6" s="8" t="s">
        <v>14</v>
      </c>
      <c r="B6" s="9">
        <v>60</v>
      </c>
      <c r="C6" s="9">
        <v>20</v>
      </c>
      <c r="D6" s="9">
        <v>23</v>
      </c>
      <c r="E6" s="9"/>
      <c r="F6" s="9">
        <v>66</v>
      </c>
      <c r="G6" s="9">
        <v>11</v>
      </c>
      <c r="H6" s="9">
        <v>24</v>
      </c>
      <c r="I6" s="9">
        <v>28</v>
      </c>
      <c r="J6" s="9">
        <v>132</v>
      </c>
      <c r="K6" s="9">
        <v>364</v>
      </c>
    </row>
    <row r="7" spans="1:11" x14ac:dyDescent="0.25">
      <c r="A7" s="8" t="s">
        <v>47</v>
      </c>
      <c r="B7" s="9">
        <v>5</v>
      </c>
      <c r="C7" s="9"/>
      <c r="D7" s="9">
        <v>3</v>
      </c>
      <c r="E7" s="9"/>
      <c r="F7" s="9"/>
      <c r="G7" s="9">
        <v>1</v>
      </c>
      <c r="H7" s="9">
        <v>1</v>
      </c>
      <c r="I7" s="9">
        <v>2</v>
      </c>
      <c r="J7" s="9">
        <v>2</v>
      </c>
      <c r="K7" s="9">
        <v>14</v>
      </c>
    </row>
    <row r="8" spans="1:11" x14ac:dyDescent="0.25">
      <c r="A8" s="8" t="s">
        <v>20</v>
      </c>
      <c r="B8" s="9">
        <v>102</v>
      </c>
      <c r="C8" s="9">
        <v>22</v>
      </c>
      <c r="D8" s="9">
        <v>21</v>
      </c>
      <c r="E8" s="9">
        <v>4</v>
      </c>
      <c r="F8" s="9">
        <v>99</v>
      </c>
      <c r="G8" s="9">
        <v>26</v>
      </c>
      <c r="H8" s="9">
        <v>40</v>
      </c>
      <c r="I8" s="9">
        <v>64</v>
      </c>
      <c r="J8" s="9">
        <v>187</v>
      </c>
      <c r="K8" s="9">
        <v>565</v>
      </c>
    </row>
    <row r="9" spans="1:11" x14ac:dyDescent="0.25">
      <c r="A9" s="8" t="s">
        <v>2067</v>
      </c>
      <c r="B9" s="9">
        <v>178</v>
      </c>
      <c r="C9" s="9">
        <v>46</v>
      </c>
      <c r="D9" s="9">
        <v>48</v>
      </c>
      <c r="E9" s="9">
        <v>4</v>
      </c>
      <c r="F9" s="9">
        <v>175</v>
      </c>
      <c r="G9" s="9">
        <v>42</v>
      </c>
      <c r="H9" s="9">
        <v>67</v>
      </c>
      <c r="I9" s="9">
        <v>96</v>
      </c>
      <c r="J9" s="9">
        <v>344</v>
      </c>
      <c r="K9" s="9">
        <v>1000</v>
      </c>
    </row>
  </sheetData>
  <pageMargins left="0.7" right="0.7" top="0.75" bottom="0.75" header="0.3" footer="0.3"/>
  <pageSetup orientation="portrait" r:id="rId2"/>
  <customProperties>
    <customPr name="LastActive" r:id="rId3"/>
  </customPropertie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925E-534D-4371-B3BA-3653120D7DAD}">
  <dimension ref="A1:H13"/>
  <sheetViews>
    <sheetView workbookViewId="0">
      <selection activeCell="I32" sqref="I32"/>
    </sheetView>
  </sheetViews>
  <sheetFormatPr defaultRowHeight="15.75" x14ac:dyDescent="0.25"/>
  <cols>
    <col min="1" max="1" width="19" customWidth="1"/>
    <col min="2" max="2" width="16.375" bestFit="1" customWidth="1"/>
    <col min="5" max="5" width="11.25" customWidth="1"/>
    <col min="6" max="6" width="13.125" customWidth="1"/>
  </cols>
  <sheetData>
    <row r="1" spans="1:8" ht="30.75" customHeight="1" x14ac:dyDescent="0.25">
      <c r="A1" s="11" t="s">
        <v>2</v>
      </c>
      <c r="B1" s="11" t="s">
        <v>2087</v>
      </c>
      <c r="C1" s="11" t="s">
        <v>2088</v>
      </c>
      <c r="D1" s="11" t="s">
        <v>2089</v>
      </c>
      <c r="E1" s="11" t="s">
        <v>2104</v>
      </c>
      <c r="F1" s="11" t="s">
        <v>2090</v>
      </c>
      <c r="G1" s="11" t="s">
        <v>2091</v>
      </c>
      <c r="H1" s="11" t="s">
        <v>2103</v>
      </c>
    </row>
    <row r="2" spans="1:8" ht="19.5" x14ac:dyDescent="0.25">
      <c r="A2" s="12" t="s">
        <v>2102</v>
      </c>
      <c r="B2">
        <f>COUNTIFS(Crowdfunding!$D$2:$D$1001,A2,Crowdfunding!$G$2:$G$1001,"successful")</f>
        <v>30</v>
      </c>
      <c r="C2">
        <f>COUNTIFS(Crowdfunding!$D$2:$D$1001,A2,Crowdfunding!$G$2:$G$1001,"failed")</f>
        <v>20</v>
      </c>
      <c r="D2">
        <f>COUNTIFS(Crowdfunding!$D$2:$D$1001,A2,Crowdfunding!$G$2:$G$1001,"canceled")</f>
        <v>1</v>
      </c>
      <c r="E2">
        <f>B2+C2+D2</f>
        <v>51</v>
      </c>
      <c r="F2" s="13">
        <f>(B2/E2)</f>
        <v>0.58823529411764708</v>
      </c>
      <c r="G2" s="13">
        <f>C2/E2</f>
        <v>0.39215686274509803</v>
      </c>
      <c r="H2" s="13">
        <f>D2/E2</f>
        <v>1.9607843137254902E-2</v>
      </c>
    </row>
    <row r="3" spans="1:8" ht="19.5" x14ac:dyDescent="0.25">
      <c r="A3" s="12" t="s">
        <v>2092</v>
      </c>
      <c r="B3">
        <f>COUNTIFS(Crowdfunding!$D$2:$D$1001,"&gt;999",Crowdfunding!$D$2:$D$1001,"&lt;5000",Crowdfunding!$G$2:$G$1001,"successful")</f>
        <v>191</v>
      </c>
      <c r="C3">
        <f>COUNTIFS(Crowdfunding!$D$2:$D$1001,"&gt;999",Crowdfunding!$D$2:$D$1001,"&lt;5000",Crowdfunding!$G$2:$G$1001,"failed")</f>
        <v>38</v>
      </c>
      <c r="D3">
        <f>COUNTIFS(Crowdfunding!$D$2:$D$1001,"&gt;999",Crowdfunding!$D$2:$D$1001,"&lt;5000",Crowdfunding!$G$2:$G$1001,"canceled")</f>
        <v>2</v>
      </c>
      <c r="E3">
        <f t="shared" ref="E3:E13" si="0">B3+C3+D3</f>
        <v>231</v>
      </c>
      <c r="F3" s="13">
        <f t="shared" ref="F3:F13" si="1">(B3/E3)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ht="19.5" x14ac:dyDescent="0.25">
      <c r="A4" s="12" t="s">
        <v>2093</v>
      </c>
      <c r="B4">
        <f>COUNTIFS(Crowdfunding!$D$2:$D$1001,"&gt;4999",Crowdfunding!$D$2:$D$1001,"&lt;10000",Crowdfunding!$G$2:$G$1001,"successful")</f>
        <v>164</v>
      </c>
      <c r="C4">
        <f>COUNTIFS(Crowdfunding!$D$2:$D$1001,"&gt;4999",Crowdfunding!$D$2:$D$1001,"&lt;10000",Crowdfunding!$G$2:$G$1001,"failed")</f>
        <v>126</v>
      </c>
      <c r="D4">
        <f>COUNTIFS(Crowdfunding!$D$2:$D$1001,"&gt;4999",Crowdfunding!$D$2:$D$1001,"&lt;10000",Crowdfunding!$G$2:$G$1001,"canceled")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19.5" customHeight="1" x14ac:dyDescent="0.25">
      <c r="A5" s="12" t="s">
        <v>2094</v>
      </c>
      <c r="B5">
        <f>COUNTIFS(Crowdfunding!$D$2:$D$1001,"&gt;9999",Crowdfunding!$D$2:$D$1001,"&lt;14999",Crowdfunding!$G$2:$G$1001,"successful")</f>
        <v>4</v>
      </c>
      <c r="C5">
        <f>COUNTIFS(Crowdfunding!$D$2:$D$1001,"&gt;9999",Crowdfunding!$D$2:$D$1001,"&lt;14999",Crowdfunding!$G$2:$G$1001,"failed")</f>
        <v>5</v>
      </c>
      <c r="D5">
        <f>COUNTIFS(Crowdfunding!$D$2:$D$1001,"&gt;9999",Crowdfunding!$D$2:$D$1001,"&lt;14999",Crowdfunding!$G$2:$G$1001,"canceled")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19.5" customHeight="1" x14ac:dyDescent="0.25">
      <c r="A6" s="12" t="s">
        <v>2095</v>
      </c>
      <c r="B6">
        <f>COUNTIFS(Crowdfunding!$D$2:$D$1001,"&gt;14999",Crowdfunding!$D$2:$D$1001,"&lt;20000",Crowdfunding!$G$2:$G$1001,"successful")</f>
        <v>10</v>
      </c>
      <c r="C6">
        <f>COUNTIFS(Crowdfunding!$D$2:$D$1001,"&gt;14999",Crowdfunding!$D$2:$D$1001,"&lt;20000",Crowdfunding!$G$2:$G$1001,"failed")</f>
        <v>0</v>
      </c>
      <c r="D6">
        <f>COUNTIFS(Crowdfunding!$D$2:$D$1001,"&gt;14999",Crowdfunding!$D$2:$D$1001,"&lt;20000",Crowdfunding!$G$2:$G$1001,"canceled")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ht="19.5" customHeight="1" x14ac:dyDescent="0.25">
      <c r="A7" s="12" t="s">
        <v>2096</v>
      </c>
      <c r="B7">
        <f>COUNTIFS(Crowdfunding!$D$2:$D$1001,"&gt;19999",Crowdfunding!$D$2:$D$1001,"&lt;25000",Crowdfunding!$G$2:$G$1001,"successful")</f>
        <v>7</v>
      </c>
      <c r="C7">
        <f>COUNTIFS(Crowdfunding!$D$2:$D$1001,"&gt;19999",Crowdfunding!$D$2:$D$1001,"&lt;25000",Crowdfunding!$G$2:$G$1001,"failed")</f>
        <v>0</v>
      </c>
      <c r="D7">
        <f>COUNTIFS(Crowdfunding!$D$2:$D$1001,"&gt;19999",Crowdfunding!$D$2:$D$1001,"&lt;25000",Crowdfunding!$G$2:$G$1001,"canceled")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ht="19.5" customHeight="1" x14ac:dyDescent="0.25">
      <c r="A8" s="12" t="s">
        <v>2097</v>
      </c>
      <c r="B8">
        <f>COUNTIFS(Crowdfunding!$D$2:$D$1001,"&gt;24999",Crowdfunding!$D$2:$D$1001,"&lt;30000",Crowdfunding!$G$2:$G$1001,"successful")</f>
        <v>11</v>
      </c>
      <c r="C8">
        <f>COUNTIFS(Crowdfunding!$D$2:$D$1001,"&gt;24999",Crowdfunding!$D$2:$D$1001,"&lt;30000",Crowdfunding!$G$2:$G$1001,"failed")</f>
        <v>3</v>
      </c>
      <c r="D8">
        <f>COUNTIFS(Crowdfunding!$D$2:$D$1001,"&gt;24999",Crowdfunding!$D$2:$D$1001,"&lt;30000",Crowdfunding!$G$2:$G$1001,"canceled")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19.5" customHeight="1" x14ac:dyDescent="0.25">
      <c r="A9" s="12" t="s">
        <v>2098</v>
      </c>
      <c r="B9">
        <f>COUNTIFS(Crowdfunding!$D$2:$D$1001,"&gt;29999",Crowdfunding!$D$2:$D$1001,"&lt;35000",Crowdfunding!$G$2:$G$1001,"successful")</f>
        <v>7</v>
      </c>
      <c r="C9">
        <f>COUNTIFS(Crowdfunding!$D$2:$D$1001,"&gt;29999",Crowdfunding!$D$2:$D$1001,"&lt;35000",Crowdfunding!$G$2:$G$1001,"failed")</f>
        <v>0</v>
      </c>
      <c r="D9">
        <f>COUNTIFS(Crowdfunding!$D$2:$D$1001,"&gt;29999",Crowdfunding!$D$2:$D$1001,"&lt;35000",Crowdfunding!$G$2:$G$1001,"canceled")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ht="19.5" customHeight="1" x14ac:dyDescent="0.25">
      <c r="A10" s="12" t="s">
        <v>2099</v>
      </c>
      <c r="B10">
        <f>COUNTIFS(Crowdfunding!$D$2:$D$1001,"&gt;34999",Crowdfunding!$D$2:$D$1001,"&lt;40000",Crowdfunding!$G$2:$G$1001,"successful")</f>
        <v>8</v>
      </c>
      <c r="C10">
        <f>COUNTIFS(Crowdfunding!$D$2:$D$1001,"&gt;34999",Crowdfunding!$D$2:$D$1001,"&lt;40000",Crowdfunding!$G$2:$G$1001,"failed")</f>
        <v>3</v>
      </c>
      <c r="D10">
        <f>COUNTIFS(Crowdfunding!$D$2:$D$1001,"&gt;34999",Crowdfunding!$D$2:$D$1001,"&lt;40000",Crowdfunding!$G$2:$G$1001,"canceled")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19.5" customHeight="1" x14ac:dyDescent="0.25">
      <c r="A11" s="12" t="s">
        <v>2100</v>
      </c>
      <c r="B11">
        <f>COUNTIFS(Crowdfunding!$D$2:$D$1001,"&gt;3999",Crowdfunding!$D$2:$D$1001,"&lt;45000",Crowdfunding!$G$2:$G$1001,"successful")</f>
        <v>255</v>
      </c>
      <c r="C11">
        <f>COUNTIFS(Crowdfunding!$D$2:$D$1001,"&gt;3999",Crowdfunding!$D$2:$D$1001,"&lt;45000",Crowdfunding!$G$2:$G$1001,"failed")</f>
        <v>153</v>
      </c>
      <c r="D11">
        <f>COUNTIFS(Crowdfunding!$D$2:$D$1001,"&gt;3999",Crowdfunding!$D$2:$D$1001,"&lt;45000",Crowdfunding!$G$2:$G$1001,"canceled")</f>
        <v>27</v>
      </c>
      <c r="E11">
        <f t="shared" si="0"/>
        <v>435</v>
      </c>
      <c r="F11" s="13">
        <f t="shared" si="1"/>
        <v>0.58620689655172409</v>
      </c>
      <c r="G11" s="13">
        <f t="shared" si="2"/>
        <v>0.35172413793103446</v>
      </c>
      <c r="H11" s="13">
        <f t="shared" si="3"/>
        <v>6.2068965517241378E-2</v>
      </c>
    </row>
    <row r="12" spans="1:8" ht="19.5" customHeight="1" x14ac:dyDescent="0.25">
      <c r="A12" s="12" t="s">
        <v>2101</v>
      </c>
      <c r="B12">
        <f>COUNTIFS(Crowdfunding!$D$2:$D$1001,"&gt;44999",Crowdfunding!$D$2:$D$1001,"&lt;50000",Crowdfunding!$G$2:$G$1001,"successful")</f>
        <v>8</v>
      </c>
      <c r="C12">
        <f>COUNTIFS(Crowdfunding!$D$2:$D$1001,"&gt;44999",Crowdfunding!$D$2:$D$1001,"&lt;50000",Crowdfunding!$G$2:$G$1001,"failed")</f>
        <v>3</v>
      </c>
      <c r="D12">
        <f>COUNTIFS(Crowdfunding!$D$2:$D$1001,"&gt;44999",Crowdfunding!$D$2:$D$1001,"&lt;50000",Crowdfunding!$G$2:$G$1001,"canceled")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19.5" customHeight="1" x14ac:dyDescent="0.25">
      <c r="A13" s="12" t="s">
        <v>2105</v>
      </c>
      <c r="B13">
        <f>COUNTIFS(Crowdfunding!$D$2:$D$1001,"&gt;50000",Crowdfunding!$G$2:$G$1001,"successful")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customProperties>
    <customPr name="LastActive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B18D-A442-40AB-97FA-DD68C4681FAD}">
  <dimension ref="A1:H566"/>
  <sheetViews>
    <sheetView workbookViewId="0">
      <selection activeCell="L30" sqref="L30"/>
    </sheetView>
  </sheetViews>
  <sheetFormatPr defaultRowHeight="15.75" x14ac:dyDescent="0.25"/>
  <cols>
    <col min="2" max="2" width="13.125" bestFit="1" customWidth="1"/>
    <col min="3" max="4" width="13.125" customWidth="1"/>
    <col min="6" max="6" width="13.125" bestFit="1" customWidth="1"/>
  </cols>
  <sheetData>
    <row r="1" spans="1:8" x14ac:dyDescent="0.25">
      <c r="A1" s="1" t="s">
        <v>2106</v>
      </c>
      <c r="B1" s="1" t="s">
        <v>2107</v>
      </c>
      <c r="C1" s="1"/>
      <c r="D1" s="1"/>
      <c r="E1" s="1" t="s">
        <v>2106</v>
      </c>
      <c r="F1" s="1" t="s">
        <v>2107</v>
      </c>
    </row>
    <row r="2" spans="1:8" x14ac:dyDescent="0.25">
      <c r="A2" t="s">
        <v>20</v>
      </c>
      <c r="B2">
        <v>158</v>
      </c>
      <c r="C2" t="s">
        <v>2108</v>
      </c>
      <c r="D2" s="5">
        <f>AVERAGE(B2:B566)</f>
        <v>851.14690265486729</v>
      </c>
      <c r="E2" t="s">
        <v>14</v>
      </c>
      <c r="F2">
        <v>0</v>
      </c>
      <c r="G2" t="s">
        <v>2108</v>
      </c>
      <c r="H2" s="5">
        <f>AVERAGE(F2:F365)</f>
        <v>585.61538461538464</v>
      </c>
    </row>
    <row r="3" spans="1:8" x14ac:dyDescent="0.25">
      <c r="A3" t="s">
        <v>20</v>
      </c>
      <c r="B3">
        <v>1425</v>
      </c>
      <c r="C3" t="s">
        <v>2109</v>
      </c>
      <c r="D3">
        <f>MEDIAN(B2:B565)</f>
        <v>200</v>
      </c>
      <c r="E3" t="s">
        <v>14</v>
      </c>
      <c r="F3">
        <v>24</v>
      </c>
      <c r="G3" t="s">
        <v>2109</v>
      </c>
      <c r="H3" s="5">
        <f>MEDIAN(F2:F365)</f>
        <v>114.5</v>
      </c>
    </row>
    <row r="4" spans="1:8" x14ac:dyDescent="0.25">
      <c r="A4" t="s">
        <v>20</v>
      </c>
      <c r="B4">
        <v>174</v>
      </c>
      <c r="C4" t="s">
        <v>2111</v>
      </c>
      <c r="D4">
        <f>MIN(B2:B566)</f>
        <v>16</v>
      </c>
      <c r="E4" t="s">
        <v>14</v>
      </c>
      <c r="F4">
        <v>53</v>
      </c>
      <c r="G4" t="s">
        <v>2111</v>
      </c>
      <c r="H4" s="5">
        <f>MIN(F2:F365)</f>
        <v>0</v>
      </c>
    </row>
    <row r="5" spans="1:8" x14ac:dyDescent="0.25">
      <c r="A5" t="s">
        <v>20</v>
      </c>
      <c r="B5">
        <v>227</v>
      </c>
      <c r="C5" t="s">
        <v>2110</v>
      </c>
      <c r="D5">
        <f>MAX(B2:B566)</f>
        <v>7295</v>
      </c>
      <c r="E5" t="s">
        <v>14</v>
      </c>
      <c r="F5">
        <v>18</v>
      </c>
      <c r="G5" t="s">
        <v>2110</v>
      </c>
      <c r="H5" s="5">
        <f>MAX(F2:F365)</f>
        <v>6080</v>
      </c>
    </row>
    <row r="6" spans="1:8" x14ac:dyDescent="0.25">
      <c r="A6" t="s">
        <v>20</v>
      </c>
      <c r="B6">
        <v>220</v>
      </c>
      <c r="C6" t="s">
        <v>2112</v>
      </c>
      <c r="D6" s="5">
        <f>_xlfn.VAR.P(B2:B566)</f>
        <v>1603373.7324019109</v>
      </c>
      <c r="E6" t="s">
        <v>14</v>
      </c>
      <c r="F6">
        <v>44</v>
      </c>
      <c r="G6" t="s">
        <v>2112</v>
      </c>
      <c r="H6" s="5">
        <f>_xlfn.VAR.P(F2:F365)</f>
        <v>921574.68174133555</v>
      </c>
    </row>
    <row r="7" spans="1:8" x14ac:dyDescent="0.25">
      <c r="A7" t="s">
        <v>20</v>
      </c>
      <c r="B7">
        <v>98</v>
      </c>
      <c r="C7" t="s">
        <v>2113</v>
      </c>
      <c r="D7" s="5">
        <f>_xlfn.STDEV.P(B2:B565)</f>
        <v>1266.370201186752</v>
      </c>
      <c r="E7" t="s">
        <v>14</v>
      </c>
      <c r="F7">
        <v>27</v>
      </c>
      <c r="G7" t="s">
        <v>2113</v>
      </c>
      <c r="H7" s="5">
        <f>_xlfn.STDEV.P(F2:F365)</f>
        <v>959.98681331637863</v>
      </c>
    </row>
    <row r="8" spans="1:8" x14ac:dyDescent="0.25">
      <c r="A8" t="s">
        <v>20</v>
      </c>
      <c r="B8">
        <v>100</v>
      </c>
      <c r="E8" t="s">
        <v>14</v>
      </c>
      <c r="F8">
        <v>55</v>
      </c>
    </row>
    <row r="9" spans="1:8" x14ac:dyDescent="0.25">
      <c r="A9" t="s">
        <v>20</v>
      </c>
      <c r="B9">
        <v>1249</v>
      </c>
      <c r="E9" t="s">
        <v>14</v>
      </c>
      <c r="F9">
        <v>200</v>
      </c>
    </row>
    <row r="10" spans="1:8" x14ac:dyDescent="0.25">
      <c r="A10" t="s">
        <v>20</v>
      </c>
      <c r="B10">
        <v>1396</v>
      </c>
      <c r="E10" t="s">
        <v>14</v>
      </c>
      <c r="F10">
        <v>452</v>
      </c>
    </row>
    <row r="11" spans="1:8" x14ac:dyDescent="0.25">
      <c r="A11" t="s">
        <v>20</v>
      </c>
      <c r="B11">
        <v>890</v>
      </c>
      <c r="E11" t="s">
        <v>14</v>
      </c>
      <c r="F11">
        <v>674</v>
      </c>
    </row>
    <row r="12" spans="1:8" x14ac:dyDescent="0.25">
      <c r="A12" t="s">
        <v>20</v>
      </c>
      <c r="B12">
        <v>142</v>
      </c>
      <c r="E12" t="s">
        <v>14</v>
      </c>
      <c r="F12">
        <v>558</v>
      </c>
    </row>
    <row r="13" spans="1:8" x14ac:dyDescent="0.25">
      <c r="A13" t="s">
        <v>20</v>
      </c>
      <c r="B13">
        <v>2673</v>
      </c>
      <c r="E13" t="s">
        <v>14</v>
      </c>
      <c r="F13">
        <v>15</v>
      </c>
    </row>
    <row r="14" spans="1:8" x14ac:dyDescent="0.25">
      <c r="A14" t="s">
        <v>20</v>
      </c>
      <c r="B14">
        <v>163</v>
      </c>
      <c r="E14" t="s">
        <v>14</v>
      </c>
      <c r="F14">
        <v>2307</v>
      </c>
    </row>
    <row r="15" spans="1:8" x14ac:dyDescent="0.25">
      <c r="A15" t="s">
        <v>20</v>
      </c>
      <c r="B15">
        <v>2220</v>
      </c>
      <c r="E15" t="s">
        <v>14</v>
      </c>
      <c r="F15">
        <v>88</v>
      </c>
    </row>
    <row r="16" spans="1:8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E2">
    <cfRule type="cellIs" dxfId="51" priority="9" operator="equal">
      <formula>"successful"</formula>
    </cfRule>
    <cfRule type="cellIs" dxfId="50" priority="10" operator="equal">
      <formula>"failed"</formula>
    </cfRule>
    <cfRule type="cellIs" dxfId="49" priority="11" operator="equal">
      <formula>"canceled"</formula>
    </cfRule>
    <cfRule type="cellIs" dxfId="48" priority="12" operator="equal">
      <formula>"live"</formula>
    </cfRule>
  </conditionalFormatting>
  <conditionalFormatting sqref="A567:A997">
    <cfRule type="cellIs" dxfId="47" priority="21" operator="equal">
      <formula>"successful"</formula>
    </cfRule>
    <cfRule type="cellIs" dxfId="46" priority="22" operator="equal">
      <formula>"failed"</formula>
    </cfRule>
    <cfRule type="cellIs" dxfId="45" priority="23" operator="equal">
      <formula>"canceled"</formula>
    </cfRule>
    <cfRule type="cellIs" dxfId="44" priority="24" operator="equal">
      <formula>"live"</formula>
    </cfRule>
  </conditionalFormatting>
  <conditionalFormatting sqref="E3:E365">
    <cfRule type="cellIs" dxfId="43" priority="5" operator="equal">
      <formula>"successful"</formula>
    </cfRule>
    <cfRule type="cellIs" dxfId="42" priority="6" operator="equal">
      <formula>"failed"</formula>
    </cfRule>
    <cfRule type="cellIs" dxfId="41" priority="7" operator="equal">
      <formula>"canceled"</formula>
    </cfRule>
    <cfRule type="cellIs" dxfId="40" priority="8" operator="equal">
      <formula>"live"</formula>
    </cfRule>
  </conditionalFormatting>
  <conditionalFormatting sqref="F8">
    <cfRule type="cellIs" dxfId="39" priority="1" operator="equal">
      <formula>"successful"</formula>
    </cfRule>
    <cfRule type="cellIs" dxfId="38" priority="2" operator="equal">
      <formula>"failed"</formula>
    </cfRule>
    <cfRule type="cellIs" dxfId="37" priority="3" operator="equal">
      <formula>"canceled"</formula>
    </cfRule>
    <cfRule type="cellIs" dxfId="36" priority="4" operator="equal">
      <formula>"live"</formula>
    </cfRule>
  </conditionalFormatting>
  <conditionalFormatting sqref="A2:A566">
    <cfRule type="cellIs" dxfId="27" priority="13" operator="equal">
      <formula>"successful"</formula>
    </cfRule>
    <cfRule type="cellIs" dxfId="26" priority="14" operator="equal">
      <formula>"failed"</formula>
    </cfRule>
    <cfRule type="cellIs" dxfId="25" priority="15" operator="equal">
      <formula>"canceled"</formula>
    </cfRule>
    <cfRule type="cellIs" dxfId="24" priority="16" operator="equal">
      <formula>"live"</formula>
    </cfRule>
  </conditionalFormatting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2" sqref="G2:H100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8" max="8" width="13" bestFit="1" customWidth="1"/>
    <col min="9" max="9" width="13" customWidth="1"/>
    <col min="12" max="12" width="15.5" bestFit="1" customWidth="1"/>
    <col min="13" max="13" width="26.125" bestFit="1" customWidth="1"/>
    <col min="14" max="14" width="11.125" bestFit="1" customWidth="1"/>
    <col min="15" max="15" width="24.875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0">
        <f>(((L2/60)/60/24)+DATE(1970,1,1))</f>
        <v>42336.25</v>
      </c>
      <c r="N2">
        <v>1450159200</v>
      </c>
      <c r="O2" s="10">
        <f>(((N2/60)/60/24)+DATE(1970,1,1))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(((L3/60)/60/24)+DATE(1970,1,1))</f>
        <v>41870.208333333336</v>
      </c>
      <c r="N3">
        <v>1408597200</v>
      </c>
      <c r="O3" s="10">
        <f t="shared" ref="O3:O66" si="3">(((N3/60)/60/24)+DATE(1970,1,1))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(((L67/60)/60/24)+DATE(1970,1,1))</f>
        <v>40570.25</v>
      </c>
      <c r="N67">
        <v>1296712800</v>
      </c>
      <c r="O67" s="10">
        <f t="shared" ref="O67:O130" si="7">(((N67/60)/60/24)+DATE(1970,1,1))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(((L131/60)/60/24)+DATE(1970,1,1))</f>
        <v>42038.25</v>
      </c>
      <c r="N131">
        <v>1425103200</v>
      </c>
      <c r="O131" s="10">
        <f t="shared" ref="O131:O194" si="11">(((N131/60)/60/24)+DATE(1970,1,1))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(((L195/60)/60/24)+DATE(1970,1,1))</f>
        <v>43198.208333333328</v>
      </c>
      <c r="N195">
        <v>1523509200</v>
      </c>
      <c r="O195" s="10">
        <f t="shared" ref="O195:O258" si="15">(((N195/60)/60/24)+DATE(1970,1,1))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(((L259/60)/60/24)+DATE(1970,1,1))</f>
        <v>41338.25</v>
      </c>
      <c r="N259">
        <v>1363669200</v>
      </c>
      <c r="O259" s="10">
        <f t="shared" ref="O259:O322" si="19">(((N259/60)/60/24)+DATE(1970,1,1))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(((L323/60)/60/24)+DATE(1970,1,1))</f>
        <v>40634.208333333336</v>
      </c>
      <c r="N323">
        <v>1302325200</v>
      </c>
      <c r="O323" s="10">
        <f t="shared" ref="O323:O386" si="23">(((N323/60)/60/24)+DATE(1970,1,1))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(((L387/60)/60/24)+DATE(1970,1,1))</f>
        <v>43553.208333333328</v>
      </c>
      <c r="N387">
        <v>1556600400</v>
      </c>
      <c r="O387" s="10">
        <f t="shared" ref="O387:O450" si="27">(((N387/60)/60/24)+DATE(1970,1,1))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(((L451/60)/60/24)+DATE(1970,1,1))</f>
        <v>43530.25</v>
      </c>
      <c r="N451">
        <v>1553317200</v>
      </c>
      <c r="O451" s="10">
        <f t="shared" ref="O451:O514" si="31">(((N451/60)/60/24)+DATE(1970,1,1))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(((L515/60)/60/24)+DATE(1970,1,1))</f>
        <v>40430.208333333336</v>
      </c>
      <c r="N515">
        <v>1284181200</v>
      </c>
      <c r="O515" s="10">
        <f t="shared" ref="O515:O578" si="35">(((N515/60)/60/24)+DATE(1970,1,1))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(((L579/60)/60/24)+DATE(1970,1,1))</f>
        <v>40613.25</v>
      </c>
      <c r="N579">
        <v>1302066000</v>
      </c>
      <c r="O579" s="10">
        <f t="shared" ref="O579:O642" si="39">(((N579/60)/60/24)+DATE(1970,1,1))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(((L643/60)/60/24)+DATE(1970,1,1))</f>
        <v>42786.25</v>
      </c>
      <c r="N643">
        <v>1489986000</v>
      </c>
      <c r="O643" s="10">
        <f t="shared" ref="O643:O706" si="43">(((N643/60)/60/24)+DATE(1970,1,1))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(((L707/60)/60/24)+DATE(1970,1,1))</f>
        <v>41619.25</v>
      </c>
      <c r="N707">
        <v>1387087200</v>
      </c>
      <c r="O707" s="10">
        <f t="shared" ref="O707:O770" si="47">(((N707/60)/60/24)+DATE(1970,1,1))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(((L771/60)/60/24)+DATE(1970,1,1))</f>
        <v>41501.208333333336</v>
      </c>
      <c r="N771">
        <v>1378789200</v>
      </c>
      <c r="O771" s="10">
        <f t="shared" ref="O771:O834" si="51">(((N771/60)/60/24)+DATE(1970,1,1))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(((L835/60)/60/24)+DATE(1970,1,1))</f>
        <v>40588.25</v>
      </c>
      <c r="N835">
        <v>1298613600</v>
      </c>
      <c r="O835" s="10">
        <f t="shared" ref="O835:O898" si="55">(((N835/60)/60/24)+DATE(1970,1,1))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(((L899/60)/60/24)+DATE(1970,1,1))</f>
        <v>43583.208333333328</v>
      </c>
      <c r="N899">
        <v>1556600400</v>
      </c>
      <c r="O899" s="10">
        <f t="shared" ref="O899:O962" si="59">(((N899/60)/60/24)+DATE(1970,1,1))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(((L963/60)/60/24)+DATE(1970,1,1))</f>
        <v>40591.25</v>
      </c>
      <c r="N963">
        <v>1298268000</v>
      </c>
      <c r="O963" s="10">
        <f t="shared" ref="O963:O1001" si="63">(((N963/60)/60/24)+DATE(1970,1,1))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2">
    <cfRule type="cellIs" dxfId="11" priority="14" operator="equal">
      <formula>"successful"</formula>
    </cfRule>
    <cfRule type="cellIs" dxfId="10" priority="15" operator="equal">
      <formula>"failed"</formula>
    </cfRule>
    <cfRule type="cellIs" dxfId="9" priority="16" operator="equal">
      <formula>"canceled"</formula>
    </cfRule>
    <cfRule type="cellIs" dxfId="8" priority="17" operator="equal">
      <formula>"live"</formula>
    </cfRule>
  </conditionalFormatting>
  <conditionalFormatting sqref="F2:F1001">
    <cfRule type="colorScale" priority="9">
      <colorScale>
        <cfvo type="num" val="0"/>
        <cfvo type="num" val="100"/>
        <cfvo type="num" val="200"/>
        <color rgb="FFF8696B"/>
        <color rgb="FFFFFF00"/>
        <color rgb="FF5A8AC6"/>
      </colorScale>
    </cfRule>
  </conditionalFormatting>
  <conditionalFormatting sqref="G3:G1001">
    <cfRule type="cellIs" dxfId="7" priority="5" operator="equal">
      <formula>"successful"</formula>
    </cfRule>
    <cfRule type="cellIs" dxfId="6" priority="6" operator="equal">
      <formula>"failed"</formula>
    </cfRule>
    <cfRule type="cellIs" dxfId="5" priority="7" operator="equal">
      <formula>"canceled"</formula>
    </cfRule>
    <cfRule type="cellIs" dxfId="4" priority="8" operator="equal">
      <formula>"live"</formula>
    </cfRule>
  </conditionalFormatting>
  <conditionalFormatting sqref="H14">
    <cfRule type="cellIs" dxfId="3" priority="1" operator="equal">
      <formula>"successful"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Category Pivot Chart</vt:lpstr>
      <vt:lpstr>Sub-category Pivot Chart</vt:lpstr>
      <vt:lpstr>Line Chart</vt:lpstr>
      <vt:lpstr>Sheet4</vt:lpstr>
      <vt:lpstr>Outcome Based on Goals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Vincent A Elequin</cp:lastModifiedBy>
  <dcterms:created xsi:type="dcterms:W3CDTF">2021-09-29T18:52:28Z</dcterms:created>
  <dcterms:modified xsi:type="dcterms:W3CDTF">2022-12-14T22:15:11Z</dcterms:modified>
</cp:coreProperties>
</file>