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-my.sharepoint.com/personal/cjmicek_wpi_edu/Documents/Classes/AI/Project 2/"/>
    </mc:Choice>
  </mc:AlternateContent>
  <xr:revisionPtr revIDLastSave="1885" documentId="13_ncr:1_{B2BD0F57-32A4-49D8-87FF-87E9C0F90635}" xr6:coauthVersionLast="44" xr6:coauthVersionMax="44" xr10:uidLastSave="{4BF3C906-E04F-4FEF-BAC7-4C8670AFD3F8}"/>
  <bookViews>
    <workbookView xWindow="-96" yWindow="-96" windowWidth="23232" windowHeight="12552" xr2:uid="{F62226A6-7197-443F-B643-8BCEA7782B8F}"/>
  </bookViews>
  <sheets>
    <sheet name="Filtering+Prediction" sheetId="1" r:id="rId1"/>
    <sheet name="Smoothing" sheetId="2" r:id="rId2"/>
    <sheet name="Worcester City Population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" i="1" l="1"/>
  <c r="R1" i="1"/>
  <c r="O1" i="1"/>
  <c r="L1" i="1"/>
  <c r="I1" i="1"/>
  <c r="T47" i="1" l="1"/>
  <c r="T46" i="1"/>
  <c r="T45" i="1"/>
  <c r="T44" i="1"/>
  <c r="R47" i="1"/>
  <c r="R46" i="1"/>
  <c r="R45" i="1"/>
  <c r="R44" i="1"/>
  <c r="P47" i="1"/>
  <c r="P46" i="1"/>
  <c r="P45" i="1"/>
  <c r="P44" i="1"/>
  <c r="T43" i="1"/>
  <c r="R43" i="1"/>
  <c r="P43" i="1"/>
  <c r="T42" i="1"/>
  <c r="R42" i="1"/>
  <c r="P42" i="1"/>
  <c r="N47" i="1"/>
  <c r="N46" i="1"/>
  <c r="N45" i="1"/>
  <c r="N44" i="1"/>
  <c r="N43" i="1"/>
  <c r="N42" i="1"/>
  <c r="L42" i="1"/>
  <c r="D228" i="1" l="1"/>
  <c r="D242" i="1"/>
  <c r="D245" i="1"/>
  <c r="D231" i="1"/>
  <c r="D11" i="1" l="1"/>
  <c r="D42" i="1"/>
  <c r="D79" i="1"/>
  <c r="D116" i="1"/>
  <c r="D153" i="1"/>
  <c r="D190" i="1"/>
  <c r="D3" i="1" l="1"/>
  <c r="G8" i="3" l="1"/>
  <c r="G6" i="3"/>
  <c r="F7" i="3"/>
  <c r="F8" i="3"/>
  <c r="F9" i="3"/>
  <c r="F10" i="3"/>
  <c r="F11" i="3"/>
  <c r="F12" i="3"/>
  <c r="F13" i="3"/>
  <c r="F14" i="3"/>
  <c r="F6" i="3"/>
  <c r="E2" i="3"/>
  <c r="D6" i="3"/>
  <c r="D7" i="3"/>
  <c r="D8" i="3"/>
  <c r="D9" i="3"/>
  <c r="D10" i="3"/>
  <c r="D11" i="3"/>
  <c r="D12" i="3"/>
  <c r="D13" i="3"/>
  <c r="D14" i="3"/>
  <c r="M4" i="3"/>
  <c r="D15" i="1"/>
  <c r="D52" i="1" s="1"/>
  <c r="M2" i="3"/>
  <c r="D8" i="1" s="1"/>
  <c r="L4" i="3"/>
  <c r="L5" i="3"/>
  <c r="L6" i="3"/>
  <c r="L7" i="3"/>
  <c r="L8" i="3"/>
  <c r="L9" i="3"/>
  <c r="L10" i="3"/>
  <c r="L11" i="3"/>
  <c r="L12" i="3"/>
  <c r="L13" i="3"/>
  <c r="L3" i="3"/>
  <c r="D163" i="1" l="1"/>
  <c r="D200" i="1"/>
  <c r="N8" i="3"/>
  <c r="N2" i="3"/>
  <c r="N6" i="3"/>
  <c r="N13" i="3"/>
  <c r="N5" i="3"/>
  <c r="N10" i="3"/>
  <c r="N7" i="3"/>
  <c r="N12" i="3"/>
  <c r="N4" i="3"/>
  <c r="N11" i="3"/>
  <c r="N3" i="3"/>
  <c r="N9" i="3"/>
  <c r="D82" i="1"/>
  <c r="D45" i="1"/>
  <c r="D193" i="1"/>
  <c r="D119" i="1"/>
  <c r="D156" i="1"/>
  <c r="D89" i="1"/>
  <c r="D126" i="1"/>
  <c r="H7" i="3" l="1"/>
  <c r="H6" i="3"/>
  <c r="H9" i="3"/>
  <c r="H10" i="3"/>
  <c r="H11" i="3"/>
  <c r="H12" i="3"/>
  <c r="H13" i="3"/>
  <c r="H8" i="3"/>
  <c r="H14" i="3"/>
  <c r="O2" i="3"/>
  <c r="I6" i="3" l="1"/>
  <c r="D18" i="1" s="1"/>
  <c r="D55" i="1" l="1"/>
  <c r="C5" i="2"/>
  <c r="D129" i="1"/>
  <c r="D203" i="1"/>
  <c r="D166" i="1"/>
  <c r="D92" i="1"/>
  <c r="D159" i="1"/>
  <c r="D196" i="1"/>
  <c r="D12" i="1" l="1"/>
  <c r="D248" i="1" l="1"/>
  <c r="D234" i="1"/>
  <c r="D85" i="1"/>
  <c r="D122" i="1" l="1"/>
  <c r="D48" i="1"/>
  <c r="C16" i="2"/>
  <c r="C2" i="2"/>
  <c r="C4" i="2"/>
  <c r="D6" i="1" l="1"/>
  <c r="D2" i="1" l="1"/>
  <c r="D5" i="1" s="1"/>
  <c r="D17" i="1"/>
  <c r="Q42" i="1" s="1"/>
  <c r="D14" i="1"/>
  <c r="O42" i="1" s="1"/>
  <c r="D27" i="2"/>
  <c r="C15" i="2" l="1"/>
  <c r="C27" i="2"/>
  <c r="D9" i="1"/>
  <c r="M42" i="1" l="1"/>
  <c r="C23" i="1"/>
  <c r="C24" i="1" s="1"/>
  <c r="D26" i="1" s="1"/>
  <c r="C3" i="2"/>
  <c r="C23" i="2" l="1"/>
  <c r="D12" i="2"/>
  <c r="C32" i="1"/>
  <c r="D36" i="1"/>
  <c r="D40" i="1"/>
  <c r="D49" i="1" s="1"/>
  <c r="D27" i="1"/>
  <c r="D16" i="2" l="1"/>
  <c r="D23" i="2" s="1"/>
  <c r="C60" i="1"/>
  <c r="D13" i="2"/>
  <c r="D19" i="2" s="1"/>
  <c r="C33" i="1"/>
  <c r="D35" i="1" l="1"/>
  <c r="C61" i="1"/>
  <c r="C69" i="1"/>
  <c r="D77" i="1"/>
  <c r="D73" i="1"/>
  <c r="D64" i="1"/>
  <c r="E13" i="2" s="1"/>
  <c r="E19" i="2" s="1"/>
  <c r="D15" i="2" l="1"/>
  <c r="S42" i="1"/>
  <c r="D39" i="1"/>
  <c r="D46" i="1" s="1"/>
  <c r="E16" i="2"/>
  <c r="E23" i="2" s="1"/>
  <c r="D43" i="1"/>
  <c r="D86" i="1"/>
  <c r="C97" i="1"/>
  <c r="C70" i="1"/>
  <c r="M43" i="1" l="1"/>
  <c r="E27" i="2"/>
  <c r="L43" i="1"/>
  <c r="D80" i="1"/>
  <c r="C98" i="1"/>
  <c r="D54" i="1"/>
  <c r="Q43" i="1" s="1"/>
  <c r="D51" i="1"/>
  <c r="O43" i="1" s="1"/>
  <c r="C106" i="1"/>
  <c r="D114" i="1"/>
  <c r="D101" i="1"/>
  <c r="F13" i="2" s="1"/>
  <c r="F19" i="2" s="1"/>
  <c r="D110" i="1"/>
  <c r="F16" i="2" s="1"/>
  <c r="F27" i="2" l="1"/>
  <c r="L44" i="1"/>
  <c r="D117" i="1"/>
  <c r="F23" i="2"/>
  <c r="D63" i="1"/>
  <c r="E12" i="2" s="1"/>
  <c r="C107" i="1"/>
  <c r="C134" i="1"/>
  <c r="D123" i="1"/>
  <c r="D151" i="1" s="1"/>
  <c r="D154" i="1" l="1"/>
  <c r="D165" i="1" s="1"/>
  <c r="Q46" i="1" s="1"/>
  <c r="L45" i="1"/>
  <c r="D160" i="1"/>
  <c r="C171" i="1"/>
  <c r="C172" i="1" s="1"/>
  <c r="G27" i="2"/>
  <c r="D72" i="1"/>
  <c r="S43" i="1" s="1"/>
  <c r="C135" i="1"/>
  <c r="D138" i="1"/>
  <c r="G13" i="2" s="1"/>
  <c r="G19" i="2" s="1"/>
  <c r="D147" i="1"/>
  <c r="G16" i="2" s="1"/>
  <c r="C143" i="1"/>
  <c r="D162" i="1" l="1"/>
  <c r="O46" i="1" s="1"/>
  <c r="D191" i="1"/>
  <c r="D202" i="1" s="1"/>
  <c r="Q47" i="1" s="1"/>
  <c r="L46" i="1"/>
  <c r="D76" i="1"/>
  <c r="D83" i="1" s="1"/>
  <c r="M44" i="1" s="1"/>
  <c r="E15" i="2"/>
  <c r="D188" i="1"/>
  <c r="C180" i="1"/>
  <c r="C181" i="1" s="1"/>
  <c r="D175" i="1"/>
  <c r="H13" i="2" s="1"/>
  <c r="D184" i="1"/>
  <c r="H27" i="2"/>
  <c r="G23" i="2"/>
  <c r="D91" i="1"/>
  <c r="Q44" i="1" s="1"/>
  <c r="C144" i="1"/>
  <c r="D199" i="1" l="1"/>
  <c r="O47" i="1" s="1"/>
  <c r="L47" i="1"/>
  <c r="I3" i="1" s="1"/>
  <c r="H19" i="2"/>
  <c r="D197" i="1"/>
  <c r="C208" i="1"/>
  <c r="C209" i="1" s="1"/>
  <c r="I27" i="2"/>
  <c r="D229" i="1"/>
  <c r="H16" i="2"/>
  <c r="D88" i="1"/>
  <c r="O44" i="1" s="1"/>
  <c r="D243" i="1" l="1"/>
  <c r="L49" i="1" s="1"/>
  <c r="L48" i="1"/>
  <c r="I4" i="1"/>
  <c r="J3" i="1"/>
  <c r="H23" i="2"/>
  <c r="D221" i="1"/>
  <c r="D226" i="1" s="1"/>
  <c r="D235" i="1" s="1"/>
  <c r="D212" i="1"/>
  <c r="I13" i="2" s="1"/>
  <c r="C217" i="1"/>
  <c r="C218" i="1" s="1"/>
  <c r="D100" i="1"/>
  <c r="F12" i="2" s="1"/>
  <c r="J4" i="1" l="1"/>
  <c r="I5" i="1"/>
  <c r="I19" i="2"/>
  <c r="D109" i="1"/>
  <c r="S44" i="1" s="1"/>
  <c r="I16" i="2"/>
  <c r="I25" i="2" s="1"/>
  <c r="D125" i="1"/>
  <c r="O45" i="1" s="1"/>
  <c r="O3" i="1" s="1"/>
  <c r="D128" i="1"/>
  <c r="Q45" i="1" s="1"/>
  <c r="R3" i="1" s="1"/>
  <c r="J5" i="1" l="1"/>
  <c r="I6" i="1"/>
  <c r="P3" i="1"/>
  <c r="O4" i="1"/>
  <c r="R4" i="1"/>
  <c r="S3" i="1"/>
  <c r="I21" i="2"/>
  <c r="H25" i="2" s="1"/>
  <c r="H21" i="2" s="1"/>
  <c r="G25" i="2" s="1"/>
  <c r="G21" i="2" s="1"/>
  <c r="F25" i="2" s="1"/>
  <c r="F21" i="2" s="1"/>
  <c r="E25" i="2" s="1"/>
  <c r="E21" i="2" s="1"/>
  <c r="D25" i="2" s="1"/>
  <c r="D21" i="2" s="1"/>
  <c r="C25" i="2" s="1"/>
  <c r="F15" i="2"/>
  <c r="D113" i="1"/>
  <c r="D120" i="1" s="1"/>
  <c r="I7" i="1" l="1"/>
  <c r="J6" i="1"/>
  <c r="S4" i="1"/>
  <c r="R5" i="1"/>
  <c r="P4" i="1"/>
  <c r="O5" i="1"/>
  <c r="D137" i="1"/>
  <c r="G12" i="2" s="1"/>
  <c r="M45" i="1"/>
  <c r="I8" i="1" l="1"/>
  <c r="J7" i="1"/>
  <c r="P5" i="1"/>
  <c r="O6" i="1"/>
  <c r="S5" i="1"/>
  <c r="R6" i="1"/>
  <c r="D146" i="1"/>
  <c r="J8" i="1" l="1"/>
  <c r="I9" i="1"/>
  <c r="S6" i="1"/>
  <c r="R7" i="1"/>
  <c r="P6" i="1"/>
  <c r="O7" i="1"/>
  <c r="G15" i="2"/>
  <c r="S45" i="1"/>
  <c r="D150" i="1"/>
  <c r="D157" i="1" s="1"/>
  <c r="D174" i="1" s="1"/>
  <c r="D183" i="1" s="1"/>
  <c r="J9" i="1" l="1"/>
  <c r="I10" i="1"/>
  <c r="P7" i="1"/>
  <c r="O8" i="1"/>
  <c r="S7" i="1"/>
  <c r="R8" i="1"/>
  <c r="D187" i="1"/>
  <c r="D194" i="1" s="1"/>
  <c r="D211" i="1" s="1"/>
  <c r="D220" i="1" s="1"/>
  <c r="S47" i="1" s="1"/>
  <c r="S46" i="1"/>
  <c r="U3" i="1" s="1"/>
  <c r="M46" i="1"/>
  <c r="H12" i="2"/>
  <c r="H15" i="2"/>
  <c r="I11" i="1" l="1"/>
  <c r="J10" i="1"/>
  <c r="U4" i="1"/>
  <c r="U5" i="1" s="1"/>
  <c r="V3" i="1"/>
  <c r="S8" i="1"/>
  <c r="R9" i="1"/>
  <c r="P8" i="1"/>
  <c r="O9" i="1"/>
  <c r="M47" i="1"/>
  <c r="L3" i="1" s="1"/>
  <c r="L4" i="1" l="1"/>
  <c r="M3" i="1"/>
  <c r="V4" i="1"/>
  <c r="I12" i="1"/>
  <c r="J11" i="1"/>
  <c r="L5" i="1"/>
  <c r="M4" i="1"/>
  <c r="S9" i="1"/>
  <c r="R10" i="1"/>
  <c r="V5" i="1"/>
  <c r="U6" i="1"/>
  <c r="O10" i="1"/>
  <c r="P9" i="1"/>
  <c r="I12" i="2"/>
  <c r="D249" i="1"/>
  <c r="I15" i="2"/>
  <c r="I13" i="1" l="1"/>
  <c r="J12" i="1"/>
  <c r="M5" i="1"/>
  <c r="L6" i="1"/>
  <c r="P10" i="1"/>
  <c r="O11" i="1"/>
  <c r="V6" i="1"/>
  <c r="U7" i="1"/>
  <c r="S10" i="1"/>
  <c r="R11" i="1"/>
  <c r="D225" i="1"/>
  <c r="D232" i="1" s="1"/>
  <c r="I24" i="2"/>
  <c r="D237" i="1" l="1"/>
  <c r="M48" i="1"/>
  <c r="I14" i="1"/>
  <c r="J13" i="1"/>
  <c r="M6" i="1"/>
  <c r="L7" i="1"/>
  <c r="S11" i="1"/>
  <c r="R12" i="1"/>
  <c r="U8" i="1"/>
  <c r="V7" i="1"/>
  <c r="P11" i="1"/>
  <c r="O12" i="1"/>
  <c r="I20" i="2"/>
  <c r="H24" i="2" s="1"/>
  <c r="I29" i="2"/>
  <c r="D240" i="1" l="1"/>
  <c r="D246" i="1" s="1"/>
  <c r="S48" i="1"/>
  <c r="J14" i="1"/>
  <c r="I15" i="1"/>
  <c r="L8" i="1"/>
  <c r="M7" i="1"/>
  <c r="P12" i="1"/>
  <c r="O13" i="1"/>
  <c r="V8" i="1"/>
  <c r="U9" i="1"/>
  <c r="S12" i="1"/>
  <c r="R13" i="1"/>
  <c r="D251" i="1" l="1"/>
  <c r="S49" i="1" s="1"/>
  <c r="M49" i="1"/>
  <c r="J15" i="1"/>
  <c r="I16" i="1"/>
  <c r="M8" i="1"/>
  <c r="L9" i="1"/>
  <c r="S13" i="1"/>
  <c r="R14" i="1"/>
  <c r="V9" i="1"/>
  <c r="U10" i="1"/>
  <c r="P13" i="1"/>
  <c r="O14" i="1"/>
  <c r="H20" i="2"/>
  <c r="G24" i="2" s="1"/>
  <c r="H29" i="2"/>
  <c r="J16" i="1" l="1"/>
  <c r="I17" i="1"/>
  <c r="L10" i="1"/>
  <c r="M9" i="1"/>
  <c r="V10" i="1"/>
  <c r="U11" i="1"/>
  <c r="O15" i="1"/>
  <c r="P14" i="1"/>
  <c r="S14" i="1"/>
  <c r="R15" i="1"/>
  <c r="G29" i="2"/>
  <c r="G20" i="2"/>
  <c r="F24" i="2" s="1"/>
  <c r="I18" i="1" l="1"/>
  <c r="J17" i="1"/>
  <c r="L11" i="1"/>
  <c r="M10" i="1"/>
  <c r="O16" i="1"/>
  <c r="P15" i="1"/>
  <c r="V11" i="1"/>
  <c r="U12" i="1"/>
  <c r="R16" i="1"/>
  <c r="S15" i="1"/>
  <c r="F20" i="2"/>
  <c r="E24" i="2" s="1"/>
  <c r="F29" i="2"/>
  <c r="I19" i="1" l="1"/>
  <c r="J18" i="1"/>
  <c r="L12" i="1"/>
  <c r="M11" i="1"/>
  <c r="P16" i="1"/>
  <c r="O17" i="1"/>
  <c r="U13" i="1"/>
  <c r="V12" i="1"/>
  <c r="R17" i="1"/>
  <c r="S16" i="1"/>
  <c r="E20" i="2"/>
  <c r="D24" i="2" s="1"/>
  <c r="D20" i="2" s="1"/>
  <c r="E29" i="2"/>
  <c r="J19" i="1" l="1"/>
  <c r="I20" i="1"/>
  <c r="M12" i="1"/>
  <c r="L13" i="1"/>
  <c r="P17" i="1"/>
  <c r="O18" i="1"/>
  <c r="V13" i="1"/>
  <c r="U14" i="1"/>
  <c r="S17" i="1"/>
  <c r="R18" i="1"/>
  <c r="C24" i="2"/>
  <c r="C29" i="2" s="1"/>
  <c r="D29" i="2"/>
  <c r="J20" i="1" l="1"/>
  <c r="I21" i="1"/>
  <c r="M13" i="1"/>
  <c r="L14" i="1"/>
  <c r="V14" i="1"/>
  <c r="U15" i="1"/>
  <c r="S18" i="1"/>
  <c r="R19" i="1"/>
  <c r="P18" i="1"/>
  <c r="O19" i="1"/>
  <c r="I22" i="1" l="1"/>
  <c r="J21" i="1"/>
  <c r="L15" i="1"/>
  <c r="M14" i="1"/>
  <c r="S19" i="1"/>
  <c r="R20" i="1"/>
  <c r="P19" i="1"/>
  <c r="O20" i="1"/>
  <c r="V15" i="1"/>
  <c r="U16" i="1"/>
  <c r="J22" i="1" l="1"/>
  <c r="I23" i="1"/>
  <c r="L16" i="1"/>
  <c r="M15" i="1"/>
  <c r="O21" i="1"/>
  <c r="P20" i="1"/>
  <c r="V16" i="1"/>
  <c r="U17" i="1"/>
  <c r="R21" i="1"/>
  <c r="S20" i="1"/>
  <c r="J23" i="1" l="1"/>
  <c r="I24" i="1"/>
  <c r="M16" i="1"/>
  <c r="L17" i="1"/>
  <c r="V17" i="1"/>
  <c r="U18" i="1"/>
  <c r="S21" i="1"/>
  <c r="R22" i="1"/>
  <c r="P21" i="1"/>
  <c r="O22" i="1"/>
  <c r="J24" i="1" l="1"/>
  <c r="I25" i="1"/>
  <c r="M17" i="1"/>
  <c r="L18" i="1"/>
  <c r="S22" i="1"/>
  <c r="R23" i="1"/>
  <c r="V18" i="1"/>
  <c r="U19" i="1"/>
  <c r="P22" i="1"/>
  <c r="O23" i="1"/>
  <c r="J25" i="1" l="1"/>
  <c r="I26" i="1"/>
  <c r="L19" i="1"/>
  <c r="M18" i="1"/>
  <c r="P23" i="1"/>
  <c r="O24" i="1"/>
  <c r="V19" i="1"/>
  <c r="U20" i="1"/>
  <c r="S23" i="1"/>
  <c r="R24" i="1"/>
  <c r="J26" i="1" l="1"/>
  <c r="I27" i="1"/>
  <c r="M19" i="1"/>
  <c r="L20" i="1"/>
  <c r="V20" i="1"/>
  <c r="U21" i="1"/>
  <c r="S24" i="1"/>
  <c r="R25" i="1"/>
  <c r="P24" i="1"/>
  <c r="O25" i="1"/>
  <c r="J27" i="1" l="1"/>
  <c r="I28" i="1"/>
  <c r="L21" i="1"/>
  <c r="M20" i="1"/>
  <c r="P25" i="1"/>
  <c r="O26" i="1"/>
  <c r="R26" i="1"/>
  <c r="S25" i="1"/>
  <c r="U22" i="1"/>
  <c r="V21" i="1"/>
  <c r="I29" i="1" l="1"/>
  <c r="J28" i="1"/>
  <c r="L22" i="1"/>
  <c r="M21" i="1"/>
  <c r="S26" i="1"/>
  <c r="R27" i="1"/>
  <c r="P26" i="1"/>
  <c r="O27" i="1"/>
  <c r="V22" i="1"/>
  <c r="U23" i="1"/>
  <c r="J29" i="1" l="1"/>
  <c r="I30" i="1"/>
  <c r="J30" i="1" s="1"/>
  <c r="L23" i="1"/>
  <c r="M22" i="1"/>
  <c r="P27" i="1"/>
  <c r="O28" i="1"/>
  <c r="S27" i="1"/>
  <c r="R28" i="1"/>
  <c r="V23" i="1"/>
  <c r="U24" i="1"/>
  <c r="L24" i="1" l="1"/>
  <c r="M23" i="1"/>
  <c r="R29" i="1"/>
  <c r="S28" i="1"/>
  <c r="P28" i="1"/>
  <c r="O29" i="1"/>
  <c r="V24" i="1"/>
  <c r="U25" i="1"/>
  <c r="L25" i="1" l="1"/>
  <c r="M24" i="1"/>
  <c r="P29" i="1"/>
  <c r="O30" i="1"/>
  <c r="P30" i="1" s="1"/>
  <c r="S29" i="1"/>
  <c r="R30" i="1"/>
  <c r="S30" i="1" s="1"/>
  <c r="V25" i="1"/>
  <c r="U26" i="1"/>
  <c r="L26" i="1" l="1"/>
  <c r="M25" i="1"/>
  <c r="V26" i="1"/>
  <c r="U27" i="1"/>
  <c r="L27" i="1" l="1"/>
  <c r="M26" i="1"/>
  <c r="U28" i="1"/>
  <c r="V27" i="1"/>
  <c r="M27" i="1" l="1"/>
  <c r="L28" i="1"/>
  <c r="V28" i="1"/>
  <c r="U29" i="1"/>
  <c r="L29" i="1" l="1"/>
  <c r="M28" i="1"/>
  <c r="V29" i="1"/>
  <c r="U30" i="1"/>
  <c r="V30" i="1" s="1"/>
  <c r="M29" i="1" l="1"/>
  <c r="L30" i="1"/>
  <c r="M30" i="1" s="1"/>
</calcChain>
</file>

<file path=xl/sharedStrings.xml><?xml version="1.0" encoding="utf-8"?>
<sst xmlns="http://schemas.openxmlformats.org/spreadsheetml/2006/main" count="405" uniqueCount="127">
  <si>
    <t>u</t>
  </si>
  <si>
    <t>transition</t>
  </si>
  <si>
    <t>sensor</t>
  </si>
  <si>
    <t>Xt+1</t>
  </si>
  <si>
    <t>sigma_t</t>
  </si>
  <si>
    <t>F(Xt)</t>
  </si>
  <si>
    <t>Prediction</t>
  </si>
  <si>
    <t>transition variance</t>
  </si>
  <si>
    <t>sigma_x</t>
  </si>
  <si>
    <t>Transition</t>
  </si>
  <si>
    <t>effective variance</t>
  </si>
  <si>
    <t>* transition</t>
  </si>
  <si>
    <t>NEXT TIMESTEP</t>
  </si>
  <si>
    <t>sensor 1 reading</t>
  </si>
  <si>
    <t>sensor 1 variance</t>
  </si>
  <si>
    <t>sig_z1</t>
  </si>
  <si>
    <t>sensor 2 reading</t>
  </si>
  <si>
    <t>sensor 2 variance</t>
  </si>
  <si>
    <t>sensor 1</t>
  </si>
  <si>
    <t>B1</t>
  </si>
  <si>
    <t>"+" (1-B1)</t>
  </si>
  <si>
    <t>* sensor 1</t>
  </si>
  <si>
    <t>new variance 1</t>
  </si>
  <si>
    <t>new variance 2</t>
  </si>
  <si>
    <t>* sensor 2</t>
  </si>
  <si>
    <t>sensor 2</t>
  </si>
  <si>
    <t>B2</t>
  </si>
  <si>
    <t>"+" (1-B2)</t>
  </si>
  <si>
    <t>F(Xt+1)</t>
  </si>
  <si>
    <t>F(Xt+2)</t>
  </si>
  <si>
    <t>Xt (Feb)</t>
  </si>
  <si>
    <t>"action" (Feb to Mar change)</t>
  </si>
  <si>
    <t>Zt+1 (Mar)</t>
  </si>
  <si>
    <t>Xt+1 (Mar)</t>
  </si>
  <si>
    <t>"action" (Mar to Apr change)</t>
  </si>
  <si>
    <t>Zt+2 (Apr)</t>
  </si>
  <si>
    <t>Xt+2 (Apr)</t>
  </si>
  <si>
    <t>"action" (Apr to May change)</t>
  </si>
  <si>
    <t>Zt+3 (May)</t>
  </si>
  <si>
    <t>Xt+3 (May)</t>
  </si>
  <si>
    <t>"action" (May to Jun change)</t>
  </si>
  <si>
    <t>F(Xt+3)</t>
  </si>
  <si>
    <t>Zt+4 (Jun)</t>
  </si>
  <si>
    <t>Xt+4 (Jun)</t>
  </si>
  <si>
    <t>"action" (Jun to Jul change)</t>
  </si>
  <si>
    <t>F(Xt+4)</t>
  </si>
  <si>
    <t>Zt+5 (Jul)</t>
  </si>
  <si>
    <t>Xt+5 (Jul)</t>
  </si>
  <si>
    <t>"action" (Jul to Aug change)</t>
  </si>
  <si>
    <t>F(Xt+5)</t>
  </si>
  <si>
    <t>Zt+6 (Aug)</t>
  </si>
  <si>
    <t>Xt+6 (Aug)</t>
  </si>
  <si>
    <t>old population</t>
  </si>
  <si>
    <t>population variance</t>
  </si>
  <si>
    <t>population 1 =</t>
  </si>
  <si>
    <t>new population 1</t>
  </si>
  <si>
    <t>population 2 =</t>
  </si>
  <si>
    <t>new population 2</t>
  </si>
  <si>
    <t>true effective mean</t>
  </si>
  <si>
    <t>predicted effective mean</t>
  </si>
  <si>
    <t>true change</t>
  </si>
  <si>
    <t>predicted change</t>
  </si>
  <si>
    <t>Month</t>
  </si>
  <si>
    <t>Feb</t>
  </si>
  <si>
    <t>Mar</t>
  </si>
  <si>
    <t>Apr</t>
  </si>
  <si>
    <t>May</t>
  </si>
  <si>
    <t>Jun</t>
  </si>
  <si>
    <t>Jul</t>
  </si>
  <si>
    <t>Aug</t>
  </si>
  <si>
    <t>t</t>
  </si>
  <si>
    <t>t+1</t>
  </si>
  <si>
    <t>t+2</t>
  </si>
  <si>
    <t>t+3</t>
  </si>
  <si>
    <t>t+4</t>
  </si>
  <si>
    <t>t+5</t>
  </si>
  <si>
    <t>t+6</t>
  </si>
  <si>
    <t>X(t)</t>
  </si>
  <si>
    <t>Forward/filter</t>
  </si>
  <si>
    <t>population 1</t>
  </si>
  <si>
    <t>variance 1</t>
  </si>
  <si>
    <t>population 2</t>
  </si>
  <si>
    <t>variance 2</t>
  </si>
  <si>
    <t>Backward/smoothing</t>
  </si>
  <si>
    <t>sig_z2</t>
  </si>
  <si>
    <t>sig_x</t>
  </si>
  <si>
    <t>sig_t</t>
  </si>
  <si>
    <t>Sensor 1</t>
  </si>
  <si>
    <t>Sensor 2</t>
  </si>
  <si>
    <t>C1</t>
  </si>
  <si>
    <t>C2</t>
  </si>
  <si>
    <t>Process</t>
  </si>
  <si>
    <t>True Population</t>
  </si>
  <si>
    <t>Filtering</t>
  </si>
  <si>
    <t>"action" (Aug to Sep change)</t>
  </si>
  <si>
    <t>F(Xt+6)</t>
  </si>
  <si>
    <t>new population</t>
  </si>
  <si>
    <t>Xt+7 (Sep)</t>
  </si>
  <si>
    <t>"action" (Sep to Oct change)</t>
  </si>
  <si>
    <t>F(Xt+7)</t>
  </si>
  <si>
    <t>Xt+8 (Oct)</t>
  </si>
  <si>
    <t>Year</t>
  </si>
  <si>
    <t>Margin of Error (+/-90% CI)</t>
  </si>
  <si>
    <t>Year-to-year Change</t>
  </si>
  <si>
    <t>Variance</t>
  </si>
  <si>
    <t>Trend Slope</t>
  </si>
  <si>
    <t>Trend Intercept</t>
  </si>
  <si>
    <t>Detrended Counts</t>
  </si>
  <si>
    <t>Worcester City Homeless Count (source: https://www.cmhaonline.org/reports-resources)</t>
  </si>
  <si>
    <t>Worcester City Total Population (source: https://data.census.gov/cedsci/table?q=Worcester%20city,%20Worcester%20County,%20Massachusetts&amp;g=0600000US2502782000&amp;hidePreview=false&amp;tid=ACSDP5Y2018.DP05&amp;vintage=2017&amp;layer=countysubdivision&amp;cid=B01003_001E)</t>
  </si>
  <si>
    <t>Est. Homeless in Worcester City</t>
  </si>
  <si>
    <t>Detrended Est. Homeless</t>
  </si>
  <si>
    <t>Mean Variance</t>
  </si>
  <si>
    <t>Differences</t>
  </si>
  <si>
    <t>Chart Database</t>
  </si>
  <si>
    <t>Month Code</t>
  </si>
  <si>
    <t>True Effective Mean</t>
  </si>
  <si>
    <t>Predicted Effective Mean</t>
  </si>
  <si>
    <t>Effective Variance</t>
  </si>
  <si>
    <t>Sensor 1 Reading</t>
  </si>
  <si>
    <t>Sensor 1 Variance</t>
  </si>
  <si>
    <t>Sensor 2 Reading</t>
  </si>
  <si>
    <t>Sensor 2 Variance</t>
  </si>
  <si>
    <t>Estimated Mean</t>
  </si>
  <si>
    <t>Estimated Variance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</si>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</sst>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164" fontId="2" fillId="4" borderId="0" xfId="0" applyNumberFormat="1" applyFont="1" applyFill="1"/>
    <xf numFmtId="0" fontId="1" fillId="5" borderId="0" xfId="0" applyFont="1" applyFill="1"/>
    <xf numFmtId="0" fontId="2" fillId="4" borderId="0" xfId="0" applyFont="1" applyFill="1"/>
    <xf numFmtId="2" fontId="1" fillId="5" borderId="0" xfId="0" applyNumberFormat="1" applyFont="1" applyFill="1"/>
    <xf numFmtId="164" fontId="2" fillId="6" borderId="0" xfId="0" applyNumberFormat="1" applyFont="1" applyFill="1"/>
    <xf numFmtId="0" fontId="0" fillId="0" borderId="0" xfId="0" applyFill="1"/>
    <xf numFmtId="164" fontId="0" fillId="0" borderId="0" xfId="0" applyNumberFormat="1"/>
    <xf numFmtId="164" fontId="2" fillId="2" borderId="0" xfId="0" applyNumberFormat="1" applyFont="1" applyFill="1"/>
    <xf numFmtId="164" fontId="2" fillId="3" borderId="0" xfId="0" applyNumberFormat="1" applyFont="1" applyFill="1"/>
    <xf numFmtId="0" fontId="0" fillId="0" borderId="0" xfId="0" applyAlignment="1">
      <alignment horizontal="right"/>
    </xf>
    <xf numFmtId="2" fontId="0" fillId="0" borderId="0" xfId="0" applyNumberFormat="1"/>
    <xf numFmtId="0" fontId="1" fillId="5" borderId="0" xfId="0" applyFont="1" applyFill="1" applyAlignment="1">
      <alignment horizontal="right"/>
    </xf>
    <xf numFmtId="0" fontId="2" fillId="3" borderId="0" xfId="0" applyFont="1" applyFill="1"/>
    <xf numFmtId="1" fontId="0" fillId="3" borderId="0" xfId="0" applyNumberFormat="1" applyFill="1"/>
    <xf numFmtId="0" fontId="0" fillId="3" borderId="0" xfId="0" applyFill="1"/>
    <xf numFmtId="0" fontId="1" fillId="7" borderId="0" xfId="0" applyFont="1" applyFill="1"/>
    <xf numFmtId="0" fontId="1" fillId="8" borderId="0" xfId="0" applyFont="1" applyFill="1"/>
    <xf numFmtId="3" fontId="0" fillId="0" borderId="0" xfId="0" applyNumberFormat="1"/>
    <xf numFmtId="0" fontId="2" fillId="0" borderId="0" xfId="0" applyFont="1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9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Filter Component</a:t>
            </a:r>
            <a:r>
              <a:rPr lang="en-US" sz="1400" b="0" baseline="0"/>
              <a:t> Probability Distributions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F(Xt)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'Filtering+Prediction'!$I$3:$I$30</c:f>
              <c:numCache>
                <c:formatCode>General</c:formatCode>
                <c:ptCount val="28"/>
                <c:pt idx="0">
                  <c:v>1081.188507531122</c:v>
                </c:pt>
                <c:pt idx="1">
                  <c:v>1089.1092736957139</c:v>
                </c:pt>
                <c:pt idx="2">
                  <c:v>1097.0300398603058</c:v>
                </c:pt>
                <c:pt idx="3">
                  <c:v>1104.9508060248977</c:v>
                </c:pt>
                <c:pt idx="4">
                  <c:v>1112.8715721894896</c:v>
                </c:pt>
                <c:pt idx="5">
                  <c:v>1120.7923383540815</c:v>
                </c:pt>
                <c:pt idx="6">
                  <c:v>1128.7131045186734</c:v>
                </c:pt>
                <c:pt idx="7">
                  <c:v>1136.6338706832653</c:v>
                </c:pt>
                <c:pt idx="8">
                  <c:v>1144.5546368478572</c:v>
                </c:pt>
                <c:pt idx="9">
                  <c:v>1152.4754030124491</c:v>
                </c:pt>
                <c:pt idx="10">
                  <c:v>1160.396169177041</c:v>
                </c:pt>
                <c:pt idx="11">
                  <c:v>1168.3169353416329</c:v>
                </c:pt>
                <c:pt idx="12">
                  <c:v>1176.2377015062248</c:v>
                </c:pt>
                <c:pt idx="13">
                  <c:v>1184.1584676708167</c:v>
                </c:pt>
                <c:pt idx="14">
                  <c:v>1192.0792338354086</c:v>
                </c:pt>
                <c:pt idx="15">
                  <c:v>1200.0000000000005</c:v>
                </c:pt>
                <c:pt idx="16">
                  <c:v>1207.9207661645924</c:v>
                </c:pt>
                <c:pt idx="17">
                  <c:v>1215.8415323291842</c:v>
                </c:pt>
                <c:pt idx="18">
                  <c:v>1223.7622984937761</c:v>
                </c:pt>
                <c:pt idx="19">
                  <c:v>1231.683064658368</c:v>
                </c:pt>
                <c:pt idx="20">
                  <c:v>1239.6038308229599</c:v>
                </c:pt>
                <c:pt idx="21">
                  <c:v>1247.5245969875518</c:v>
                </c:pt>
                <c:pt idx="22">
                  <c:v>1255.4453631521437</c:v>
                </c:pt>
                <c:pt idx="23">
                  <c:v>1263.3661293167356</c:v>
                </c:pt>
                <c:pt idx="24">
                  <c:v>1271.2868954813275</c:v>
                </c:pt>
                <c:pt idx="25">
                  <c:v>1279.2076616459194</c:v>
                </c:pt>
                <c:pt idx="26">
                  <c:v>1287.1284278105113</c:v>
                </c:pt>
                <c:pt idx="27">
                  <c:v>1295.0491939751032</c:v>
                </c:pt>
              </c:numCache>
            </c:numRef>
          </c:xVal>
          <c:yVal>
            <c:numRef>
              <c:f>'Filtering+Prediction'!$J$3:$J$30</c:f>
              <c:numCache>
                <c:formatCode>General</c:formatCode>
                <c:ptCount val="28"/>
                <c:pt idx="0">
                  <c:v>4.5056323419197889E-6</c:v>
                </c:pt>
                <c:pt idx="1">
                  <c:v>1.2634603468715167E-5</c:v>
                </c:pt>
                <c:pt idx="2">
                  <c:v>3.2997749322343035E-5</c:v>
                </c:pt>
                <c:pt idx="3">
                  <c:v>8.0264565385856055E-5</c:v>
                </c:pt>
                <c:pt idx="4">
                  <c:v>1.8183615301724083E-4</c:v>
                </c:pt>
                <c:pt idx="5">
                  <c:v>3.8366611804940208E-4</c:v>
                </c:pt>
                <c:pt idx="6">
                  <c:v>7.5395165331196496E-4</c:v>
                </c:pt>
                <c:pt idx="7">
                  <c:v>1.3799088015314382E-3</c:v>
                </c:pt>
                <c:pt idx="8">
                  <c:v>2.3521992567921801E-3</c:v>
                </c:pt>
                <c:pt idx="9">
                  <c:v>3.7343469852804752E-3</c:v>
                </c:pt>
                <c:pt idx="10">
                  <c:v>5.5216905795188896E-3</c:v>
                </c:pt>
                <c:pt idx="11">
                  <c:v>7.6040734031277545E-3</c:v>
                </c:pt>
                <c:pt idx="12">
                  <c:v>9.7529808519952327E-3</c:v>
                </c:pt>
                <c:pt idx="13">
                  <c:v>1.1650519187529689E-2</c:v>
                </c:pt>
                <c:pt idx="14">
                  <c:v>1.2961940519242821E-2</c:v>
                </c:pt>
                <c:pt idx="15">
                  <c:v>1.3431100716319465E-2</c:v>
                </c:pt>
                <c:pt idx="16">
                  <c:v>1.2961940519242715E-2</c:v>
                </c:pt>
                <c:pt idx="17">
                  <c:v>1.1650519187529499E-2</c:v>
                </c:pt>
                <c:pt idx="18">
                  <c:v>9.7529808519949933E-3</c:v>
                </c:pt>
                <c:pt idx="19">
                  <c:v>7.6040734031275056E-3</c:v>
                </c:pt>
                <c:pt idx="20">
                  <c:v>5.5216905795186641E-3</c:v>
                </c:pt>
                <c:pt idx="21">
                  <c:v>3.7343469852802922E-3</c:v>
                </c:pt>
                <c:pt idx="22">
                  <c:v>2.3521992567920457E-3</c:v>
                </c:pt>
                <c:pt idx="23">
                  <c:v>1.3799088015313482E-3</c:v>
                </c:pt>
                <c:pt idx="24">
                  <c:v>7.5395165331190966E-4</c:v>
                </c:pt>
                <c:pt idx="25">
                  <c:v>3.8366611804937074E-4</c:v>
                </c:pt>
                <c:pt idx="26">
                  <c:v>1.8183615301722451E-4</c:v>
                </c:pt>
                <c:pt idx="27">
                  <c:v>8.0264565385848141E-5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F-461C-99A1-D69CDF3D303F}"/>
            </c:ext>
          </c:extLst>
        </c:ser>
        <c:ser>
          <c:idx val="1"/>
          <c:order val="1"/>
          <c:tx>
            <c:v>transition</c:v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'Filtering+Prediction'!$L$3:$L$30</c:f>
              <c:numCache>
                <c:formatCode>General</c:formatCode>
                <c:ptCount val="28"/>
                <c:pt idx="0">
                  <c:v>1099.8461391252461</c:v>
                </c:pt>
                <c:pt idx="1">
                  <c:v>1107.766905289838</c:v>
                </c:pt>
                <c:pt idx="2">
                  <c:v>1115.6876714544298</c:v>
                </c:pt>
                <c:pt idx="3">
                  <c:v>1123.6084376190217</c:v>
                </c:pt>
                <c:pt idx="4">
                  <c:v>1131.5292037836136</c:v>
                </c:pt>
                <c:pt idx="5">
                  <c:v>1139.4499699482055</c:v>
                </c:pt>
                <c:pt idx="6">
                  <c:v>1147.3707361127974</c:v>
                </c:pt>
                <c:pt idx="7">
                  <c:v>1155.2915022773893</c:v>
                </c:pt>
                <c:pt idx="8">
                  <c:v>1163.2122684419812</c:v>
                </c:pt>
                <c:pt idx="9">
                  <c:v>1171.1330346065731</c:v>
                </c:pt>
                <c:pt idx="10">
                  <c:v>1179.053800771165</c:v>
                </c:pt>
                <c:pt idx="11">
                  <c:v>1186.9745669357569</c:v>
                </c:pt>
                <c:pt idx="12">
                  <c:v>1194.8953331003488</c:v>
                </c:pt>
                <c:pt idx="13">
                  <c:v>1202.8160992649407</c:v>
                </c:pt>
                <c:pt idx="14">
                  <c:v>1210.7368654295326</c:v>
                </c:pt>
                <c:pt idx="15">
                  <c:v>1218.6576315941245</c:v>
                </c:pt>
                <c:pt idx="16">
                  <c:v>1226.5783977587164</c:v>
                </c:pt>
                <c:pt idx="17">
                  <c:v>1234.4991639233083</c:v>
                </c:pt>
                <c:pt idx="18">
                  <c:v>1242.4199300879002</c:v>
                </c:pt>
                <c:pt idx="19">
                  <c:v>1250.3406962524921</c:v>
                </c:pt>
                <c:pt idx="20">
                  <c:v>1258.261462417084</c:v>
                </c:pt>
                <c:pt idx="21">
                  <c:v>1266.1822285816759</c:v>
                </c:pt>
                <c:pt idx="22">
                  <c:v>1274.1029947462678</c:v>
                </c:pt>
                <c:pt idx="23">
                  <c:v>1282.0237609108597</c:v>
                </c:pt>
                <c:pt idx="24">
                  <c:v>1289.9445270754516</c:v>
                </c:pt>
                <c:pt idx="25">
                  <c:v>1297.8652932400435</c:v>
                </c:pt>
                <c:pt idx="26">
                  <c:v>1305.7860594046354</c:v>
                </c:pt>
                <c:pt idx="27">
                  <c:v>1313.7068255692272</c:v>
                </c:pt>
              </c:numCache>
            </c:numRef>
          </c:xVal>
          <c:yVal>
            <c:numRef>
              <c:f>'Filtering+Prediction'!$M$3:$M$30</c:f>
              <c:numCache>
                <c:formatCode>General</c:formatCode>
                <c:ptCount val="28"/>
                <c:pt idx="0">
                  <c:v>4.5056323419197889E-6</c:v>
                </c:pt>
                <c:pt idx="1">
                  <c:v>1.2634603468715167E-5</c:v>
                </c:pt>
                <c:pt idx="2">
                  <c:v>3.2997749322343035E-5</c:v>
                </c:pt>
                <c:pt idx="3">
                  <c:v>8.0264565385856055E-5</c:v>
                </c:pt>
                <c:pt idx="4">
                  <c:v>1.8183615301724083E-4</c:v>
                </c:pt>
                <c:pt idx="5">
                  <c:v>3.8366611804940208E-4</c:v>
                </c:pt>
                <c:pt idx="6">
                  <c:v>7.5395165331196496E-4</c:v>
                </c:pt>
                <c:pt idx="7">
                  <c:v>1.3799088015314382E-3</c:v>
                </c:pt>
                <c:pt idx="8">
                  <c:v>2.3521992567921801E-3</c:v>
                </c:pt>
                <c:pt idx="9">
                  <c:v>3.7343469852804752E-3</c:v>
                </c:pt>
                <c:pt idx="10">
                  <c:v>5.5216905795188896E-3</c:v>
                </c:pt>
                <c:pt idx="11">
                  <c:v>7.6040734031277545E-3</c:v>
                </c:pt>
                <c:pt idx="12">
                  <c:v>9.7529808519952327E-3</c:v>
                </c:pt>
                <c:pt idx="13">
                  <c:v>1.1650519187529689E-2</c:v>
                </c:pt>
                <c:pt idx="14">
                  <c:v>1.2961940519242821E-2</c:v>
                </c:pt>
                <c:pt idx="15">
                  <c:v>1.3431100716319465E-2</c:v>
                </c:pt>
                <c:pt idx="16">
                  <c:v>1.2961940519242715E-2</c:v>
                </c:pt>
                <c:pt idx="17">
                  <c:v>1.1650519187529499E-2</c:v>
                </c:pt>
                <c:pt idx="18">
                  <c:v>9.7529808519949933E-3</c:v>
                </c:pt>
                <c:pt idx="19">
                  <c:v>7.6040734031275056E-3</c:v>
                </c:pt>
                <c:pt idx="20">
                  <c:v>5.5216905795186641E-3</c:v>
                </c:pt>
                <c:pt idx="21">
                  <c:v>3.7343469852802922E-3</c:v>
                </c:pt>
                <c:pt idx="22">
                  <c:v>2.3521992567920457E-3</c:v>
                </c:pt>
                <c:pt idx="23">
                  <c:v>1.3799088015313482E-3</c:v>
                </c:pt>
                <c:pt idx="24">
                  <c:v>7.5395165331190966E-4</c:v>
                </c:pt>
                <c:pt idx="25">
                  <c:v>3.8366611804937074E-4</c:v>
                </c:pt>
                <c:pt idx="26">
                  <c:v>1.8183615301722451E-4</c:v>
                </c:pt>
                <c:pt idx="27">
                  <c:v>8.0264565385848141E-5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F-461C-99A1-D69CDF3D303F}"/>
            </c:ext>
          </c:extLst>
        </c:ser>
        <c:ser>
          <c:idx val="2"/>
          <c:order val="2"/>
          <c:tx>
            <c:v>sensor 1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'Filtering+Prediction'!$O$3:$O$30</c:f>
              <c:numCache>
                <c:formatCode>General</c:formatCode>
                <c:ptCount val="28"/>
                <c:pt idx="0">
                  <c:v>1137.4631191125081</c:v>
                </c:pt>
                <c:pt idx="1">
                  <c:v>1142.1690014654494</c:v>
                </c:pt>
                <c:pt idx="2">
                  <c:v>1146.8748838183906</c:v>
                </c:pt>
                <c:pt idx="3">
                  <c:v>1151.5807661713318</c:v>
                </c:pt>
                <c:pt idx="4">
                  <c:v>1156.286648524273</c:v>
                </c:pt>
                <c:pt idx="5">
                  <c:v>1160.9925308772142</c:v>
                </c:pt>
                <c:pt idx="6">
                  <c:v>1165.6984132301554</c:v>
                </c:pt>
                <c:pt idx="7">
                  <c:v>1170.4042955830967</c:v>
                </c:pt>
                <c:pt idx="8">
                  <c:v>1175.1101779360379</c:v>
                </c:pt>
                <c:pt idx="9">
                  <c:v>1179.8160602889791</c:v>
                </c:pt>
                <c:pt idx="10">
                  <c:v>1184.5219426419203</c:v>
                </c:pt>
                <c:pt idx="11">
                  <c:v>1189.2278249948615</c:v>
                </c:pt>
                <c:pt idx="12">
                  <c:v>1193.9337073478027</c:v>
                </c:pt>
                <c:pt idx="13">
                  <c:v>1198.639589700744</c:v>
                </c:pt>
                <c:pt idx="14">
                  <c:v>1203.3454720536852</c:v>
                </c:pt>
                <c:pt idx="15">
                  <c:v>1208.0513544066264</c:v>
                </c:pt>
                <c:pt idx="16">
                  <c:v>1212.7572367595676</c:v>
                </c:pt>
                <c:pt idx="17">
                  <c:v>1217.4631191125088</c:v>
                </c:pt>
                <c:pt idx="18">
                  <c:v>1222.16900146545</c:v>
                </c:pt>
                <c:pt idx="19">
                  <c:v>1226.8748838183913</c:v>
                </c:pt>
                <c:pt idx="20">
                  <c:v>1231.5807661713325</c:v>
                </c:pt>
                <c:pt idx="21">
                  <c:v>1236.2866485242737</c:v>
                </c:pt>
                <c:pt idx="22">
                  <c:v>1240.9925308772149</c:v>
                </c:pt>
                <c:pt idx="23">
                  <c:v>1245.6984132301561</c:v>
                </c:pt>
                <c:pt idx="24">
                  <c:v>1250.4042955830973</c:v>
                </c:pt>
                <c:pt idx="25">
                  <c:v>1255.1101779360386</c:v>
                </c:pt>
                <c:pt idx="26">
                  <c:v>1259.8160602889798</c:v>
                </c:pt>
                <c:pt idx="27">
                  <c:v>1264.521942641921</c:v>
                </c:pt>
              </c:numCache>
            </c:numRef>
          </c:xVal>
          <c:yVal>
            <c:numRef>
              <c:f>'Filtering+Prediction'!$P$3:$P$30</c:f>
              <c:numCache>
                <c:formatCode>General</c:formatCode>
                <c:ptCount val="28"/>
                <c:pt idx="0">
                  <c:v>7.5837127933436515E-6</c:v>
                </c:pt>
                <c:pt idx="1">
                  <c:v>2.1266094677332932E-5</c:v>
                </c:pt>
                <c:pt idx="2">
                  <c:v>5.5540584472272901E-5</c:v>
                </c:pt>
                <c:pt idx="3">
                  <c:v>1.3509833141634622E-4</c:v>
                </c:pt>
                <c:pt idx="4">
                  <c:v>3.0605985026769373E-4</c:v>
                </c:pt>
                <c:pt idx="5">
                  <c:v>6.4577254134854929E-4</c:v>
                </c:pt>
                <c:pt idx="6">
                  <c:v>1.2690233833744867E-3</c:v>
                </c:pt>
                <c:pt idx="7">
                  <c:v>2.3226111758960252E-3</c:v>
                </c:pt>
                <c:pt idx="8">
                  <c:v>3.9591343106853624E-3</c:v>
                </c:pt>
                <c:pt idx="9">
                  <c:v>6.2855139651694023E-3</c:v>
                </c:pt>
                <c:pt idx="10">
                  <c:v>9.2939042316399767E-3</c:v>
                </c:pt>
                <c:pt idx="11">
                  <c:v>1.2798893556470792E-2</c:v>
                </c:pt>
                <c:pt idx="12">
                  <c:v>1.641585465648444E-2</c:v>
                </c:pt>
                <c:pt idx="13">
                  <c:v>1.9609720613359319E-2</c:v>
                </c:pt>
                <c:pt idx="14">
                  <c:v>2.1817056227107667E-2</c:v>
                </c:pt>
                <c:pt idx="15">
                  <c:v>2.260672922274785E-2</c:v>
                </c:pt>
                <c:pt idx="16">
                  <c:v>2.1817056227107216E-2</c:v>
                </c:pt>
                <c:pt idx="17">
                  <c:v>1.960972061335851E-2</c:v>
                </c:pt>
                <c:pt idx="18">
                  <c:v>1.6415854656483424E-2</c:v>
                </c:pt>
                <c:pt idx="19">
                  <c:v>1.2798893556469734E-2</c:v>
                </c:pt>
                <c:pt idx="20">
                  <c:v>9.2939042316390191E-3</c:v>
                </c:pt>
                <c:pt idx="21">
                  <c:v>6.2855139651686225E-3</c:v>
                </c:pt>
                <c:pt idx="22">
                  <c:v>3.9591343106847917E-3</c:v>
                </c:pt>
                <c:pt idx="23">
                  <c:v>2.3226111758956427E-3</c:v>
                </c:pt>
                <c:pt idx="24">
                  <c:v>1.2690233833742509E-3</c:v>
                </c:pt>
                <c:pt idx="25">
                  <c:v>6.4577254134841615E-4</c:v>
                </c:pt>
                <c:pt idx="26">
                  <c:v>3.0605985026762445E-4</c:v>
                </c:pt>
                <c:pt idx="27">
                  <c:v>1.3509833141631263E-4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F-461C-99A1-D69CDF3D303F}"/>
            </c:ext>
          </c:extLst>
        </c:ser>
        <c:ser>
          <c:idx val="4"/>
          <c:order val="3"/>
          <c:tx>
            <c:v>sensor 2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'Filtering+Prediction'!$R$3:$R$30</c:f>
              <c:numCache>
                <c:formatCode>General</c:formatCode>
                <c:ptCount val="28"/>
                <c:pt idx="0">
                  <c:v>1161.1987454827511</c:v>
                </c:pt>
                <c:pt idx="1">
                  <c:v>1164.2198606208901</c:v>
                </c:pt>
                <c:pt idx="2">
                  <c:v>1167.2409757590292</c:v>
                </c:pt>
                <c:pt idx="3">
                  <c:v>1170.2620908971683</c:v>
                </c:pt>
                <c:pt idx="4">
                  <c:v>1173.2832060353073</c:v>
                </c:pt>
                <c:pt idx="5">
                  <c:v>1176.3043211734464</c:v>
                </c:pt>
                <c:pt idx="6">
                  <c:v>1179.3254363115855</c:v>
                </c:pt>
                <c:pt idx="7">
                  <c:v>1182.3465514497245</c:v>
                </c:pt>
                <c:pt idx="8">
                  <c:v>1185.3676665878636</c:v>
                </c:pt>
                <c:pt idx="9">
                  <c:v>1188.3887817260027</c:v>
                </c:pt>
                <c:pt idx="10">
                  <c:v>1191.4098968641417</c:v>
                </c:pt>
                <c:pt idx="11">
                  <c:v>1194.4310120022808</c:v>
                </c:pt>
                <c:pt idx="12">
                  <c:v>1197.4521271404199</c:v>
                </c:pt>
                <c:pt idx="13">
                  <c:v>1200.4732422785589</c:v>
                </c:pt>
                <c:pt idx="14">
                  <c:v>1203.494357416698</c:v>
                </c:pt>
                <c:pt idx="15">
                  <c:v>1206.5154725548371</c:v>
                </c:pt>
                <c:pt idx="16">
                  <c:v>1209.5365876929761</c:v>
                </c:pt>
                <c:pt idx="17">
                  <c:v>1212.5577028311152</c:v>
                </c:pt>
                <c:pt idx="18">
                  <c:v>1215.5788179692543</c:v>
                </c:pt>
                <c:pt idx="19">
                  <c:v>1218.5999331073933</c:v>
                </c:pt>
                <c:pt idx="20">
                  <c:v>1221.6210482455324</c:v>
                </c:pt>
                <c:pt idx="21">
                  <c:v>1224.6421633836715</c:v>
                </c:pt>
                <c:pt idx="22">
                  <c:v>1227.6632785218105</c:v>
                </c:pt>
                <c:pt idx="23">
                  <c:v>1230.6843936599496</c:v>
                </c:pt>
                <c:pt idx="24">
                  <c:v>1233.7055087980887</c:v>
                </c:pt>
                <c:pt idx="25">
                  <c:v>1236.7266239362277</c:v>
                </c:pt>
                <c:pt idx="26">
                  <c:v>1239.7477390743668</c:v>
                </c:pt>
                <c:pt idx="27">
                  <c:v>1242.7688542125059</c:v>
                </c:pt>
              </c:numCache>
            </c:numRef>
          </c:xVal>
          <c:yVal>
            <c:numRef>
              <c:f>'Filtering+Prediction'!$S$3:$S$30</c:f>
              <c:numCache>
                <c:formatCode>General</c:formatCode>
                <c:ptCount val="28"/>
                <c:pt idx="0">
                  <c:v>1.181287656118702E-5</c:v>
                </c:pt>
                <c:pt idx="1">
                  <c:v>3.3125430538765269E-5</c:v>
                </c:pt>
                <c:pt idx="2">
                  <c:v>8.65135701187164E-5</c:v>
                </c:pt>
                <c:pt idx="3">
                  <c:v>2.1043781009802781E-4</c:v>
                </c:pt>
                <c:pt idx="4">
                  <c:v>4.7673841692963393E-4</c:v>
                </c:pt>
                <c:pt idx="5">
                  <c:v>1.005896653186825E-3</c:v>
                </c:pt>
                <c:pt idx="6">
                  <c:v>1.9767120656547657E-3</c:v>
                </c:pt>
                <c:pt idx="7">
                  <c:v>3.6178478626689298E-3</c:v>
                </c:pt>
                <c:pt idx="8">
                  <c:v>6.1670010687029722E-3</c:v>
                </c:pt>
                <c:pt idx="9">
                  <c:v>9.7907189548810704E-3</c:v>
                </c:pt>
                <c:pt idx="10">
                  <c:v>1.4476780233056812E-2</c:v>
                </c:pt>
                <c:pt idx="11">
                  <c:v>1.99363759971324E-2</c:v>
                </c:pt>
                <c:pt idx="12">
                  <c:v>2.557038616673939E-2</c:v>
                </c:pt>
                <c:pt idx="13">
                  <c:v>3.0545356254564407E-2</c:v>
                </c:pt>
                <c:pt idx="14">
                  <c:v>3.3983643521614884E-2</c:v>
                </c:pt>
                <c:pt idx="15">
                  <c:v>3.5213688735007971E-2</c:v>
                </c:pt>
                <c:pt idx="16">
                  <c:v>3.3983643521614162E-2</c:v>
                </c:pt>
                <c:pt idx="17">
                  <c:v>3.0545356254563102E-2</c:v>
                </c:pt>
                <c:pt idx="18">
                  <c:v>2.5570386166737739E-2</c:v>
                </c:pt>
                <c:pt idx="19">
                  <c:v>1.9936375997130693E-2</c:v>
                </c:pt>
                <c:pt idx="20">
                  <c:v>1.4476780233055261E-2</c:v>
                </c:pt>
                <c:pt idx="21">
                  <c:v>9.7907189548798127E-3</c:v>
                </c:pt>
                <c:pt idx="22">
                  <c:v>6.1670010687020511E-3</c:v>
                </c:pt>
                <c:pt idx="23">
                  <c:v>3.6178478626683096E-3</c:v>
                </c:pt>
                <c:pt idx="24">
                  <c:v>1.9767120656543841E-3</c:v>
                </c:pt>
                <c:pt idx="25">
                  <c:v>1.0058966531866105E-3</c:v>
                </c:pt>
                <c:pt idx="26">
                  <c:v>4.7673841692952128E-4</c:v>
                </c:pt>
                <c:pt idx="27">
                  <c:v>2.1043781009797373E-4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9-4FAA-8170-1853E11AE602}"/>
            </c:ext>
          </c:extLst>
        </c:ser>
        <c:ser>
          <c:idx val="3"/>
          <c:order val="4"/>
          <c:tx>
            <c:v>Xt+1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'Filtering+Prediction'!$U$3:$U$30</c:f>
              <c:numCache>
                <c:formatCode>General</c:formatCode>
                <c:ptCount val="28"/>
                <c:pt idx="0">
                  <c:v>1166.0614025771163</c:v>
                </c:pt>
                <c:pt idx="1">
                  <c:v>1168.8841610517334</c:v>
                </c:pt>
                <c:pt idx="2">
                  <c:v>1171.7069195263505</c:v>
                </c:pt>
                <c:pt idx="3">
                  <c:v>1174.5296780009676</c:v>
                </c:pt>
                <c:pt idx="4">
                  <c:v>1177.3524364755847</c:v>
                </c:pt>
                <c:pt idx="5">
                  <c:v>1180.1751949502018</c:v>
                </c:pt>
                <c:pt idx="6">
                  <c:v>1182.9979534248189</c:v>
                </c:pt>
                <c:pt idx="7">
                  <c:v>1185.820711899436</c:v>
                </c:pt>
                <c:pt idx="8">
                  <c:v>1188.6434703740531</c:v>
                </c:pt>
                <c:pt idx="9">
                  <c:v>1191.4662288486702</c:v>
                </c:pt>
                <c:pt idx="10">
                  <c:v>1194.2889873232873</c:v>
                </c:pt>
                <c:pt idx="11">
                  <c:v>1197.1117457979044</c:v>
                </c:pt>
                <c:pt idx="12">
                  <c:v>1199.9345042725215</c:v>
                </c:pt>
                <c:pt idx="13">
                  <c:v>1202.7572627471386</c:v>
                </c:pt>
                <c:pt idx="14">
                  <c:v>1205.5800212217557</c:v>
                </c:pt>
                <c:pt idx="15">
                  <c:v>1208.4027796963728</c:v>
                </c:pt>
                <c:pt idx="16">
                  <c:v>1211.2255381709899</c:v>
                </c:pt>
                <c:pt idx="17">
                  <c:v>1214.048296645607</c:v>
                </c:pt>
                <c:pt idx="18">
                  <c:v>1216.8710551202241</c:v>
                </c:pt>
                <c:pt idx="19">
                  <c:v>1219.6938135948412</c:v>
                </c:pt>
                <c:pt idx="20">
                  <c:v>1222.5165720694583</c:v>
                </c:pt>
                <c:pt idx="21">
                  <c:v>1225.3393305440754</c:v>
                </c:pt>
                <c:pt idx="22">
                  <c:v>1228.1620890186925</c:v>
                </c:pt>
                <c:pt idx="23">
                  <c:v>1230.9848474933096</c:v>
                </c:pt>
                <c:pt idx="24">
                  <c:v>1233.8076059679267</c:v>
                </c:pt>
                <c:pt idx="25">
                  <c:v>1236.6303644425439</c:v>
                </c:pt>
                <c:pt idx="26">
                  <c:v>1239.453122917161</c:v>
                </c:pt>
                <c:pt idx="27">
                  <c:v>1242.2758813917781</c:v>
                </c:pt>
              </c:numCache>
            </c:numRef>
          </c:xVal>
          <c:yVal>
            <c:numRef>
              <c:f>'Filtering+Prediction'!$V$3:$V$30</c:f>
              <c:numCache>
                <c:formatCode>General</c:formatCode>
                <c:ptCount val="28"/>
                <c:pt idx="0">
                  <c:v>1.2642973362718067E-5</c:v>
                </c:pt>
                <c:pt idx="1">
                  <c:v>3.5453171271273755E-5</c:v>
                </c:pt>
                <c:pt idx="2">
                  <c:v>9.2592922380852521E-5</c:v>
                </c:pt>
                <c:pt idx="3">
                  <c:v>2.2522538128602748E-4</c:v>
                </c:pt>
                <c:pt idx="4">
                  <c:v>5.1023906624316471E-4</c:v>
                </c:pt>
                <c:pt idx="5">
                  <c:v>1.076581518990374E-3</c:v>
                </c:pt>
                <c:pt idx="6">
                  <c:v>2.1156166207603024E-3</c:v>
                </c:pt>
                <c:pt idx="7">
                  <c:v>3.8720758590145123E-3</c:v>
                </c:pt>
                <c:pt idx="8">
                  <c:v>6.6003593481749065E-3</c:v>
                </c:pt>
                <c:pt idx="9">
                  <c:v>1.0478717720214959E-2</c:v>
                </c:pt>
                <c:pt idx="10">
                  <c:v>1.5494070890898373E-2</c:v>
                </c:pt>
                <c:pt idx="11">
                  <c:v>2.133731520644554E-2</c:v>
                </c:pt>
                <c:pt idx="12">
                  <c:v>2.7367230115881106E-2</c:v>
                </c:pt>
                <c:pt idx="13">
                  <c:v>3.2691793864168456E-2</c:v>
                </c:pt>
                <c:pt idx="14">
                  <c:v>3.6371691313830938E-2</c:v>
                </c:pt>
                <c:pt idx="15">
                  <c:v>3.7688172425549435E-2</c:v>
                </c:pt>
                <c:pt idx="16">
                  <c:v>3.6371691313829682E-2</c:v>
                </c:pt>
                <c:pt idx="17">
                  <c:v>3.2691793864166208E-2</c:v>
                </c:pt>
                <c:pt idx="18">
                  <c:v>2.7367230115878282E-2</c:v>
                </c:pt>
                <c:pt idx="19">
                  <c:v>2.1337315206442612E-2</c:v>
                </c:pt>
                <c:pt idx="20">
                  <c:v>1.5494070890895712E-2</c:v>
                </c:pt>
                <c:pt idx="21">
                  <c:v>1.0478717720212799E-2</c:v>
                </c:pt>
                <c:pt idx="22">
                  <c:v>6.6003593481733184E-3</c:v>
                </c:pt>
                <c:pt idx="23">
                  <c:v>3.8720758590134476E-3</c:v>
                </c:pt>
                <c:pt idx="24">
                  <c:v>2.1156166207596484E-3</c:v>
                </c:pt>
                <c:pt idx="25">
                  <c:v>1.0765815189900038E-3</c:v>
                </c:pt>
                <c:pt idx="26">
                  <c:v>5.1023906624297172E-4</c:v>
                </c:pt>
                <c:pt idx="27">
                  <c:v>2.2522538128593464E-4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F-461C-99A1-D69CDF3D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92256"/>
        <c:axId val="116994048"/>
      </c:scatterChart>
      <c:valAx>
        <c:axId val="116992256"/>
        <c:scaling>
          <c:orientation val="minMax"/>
          <c:min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Homeless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94048"/>
        <c:crosses val="autoZero"/>
        <c:crossBetween val="midCat"/>
      </c:valAx>
      <c:valAx>
        <c:axId val="11699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Probability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92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0955430300576"/>
          <c:y val="0.23917950502282756"/>
          <c:w val="0.17311735728568434"/>
          <c:h val="0.361896036261934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Filtering + Prediction vs. Ground Truth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Filtering+Prediction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'Filtering+Prediction'!$J$42:$J$49</c:f>
              <c:strCache>
                <c:ptCount val="8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</c:strCache>
            </c:strRef>
          </c:xVal>
          <c:yVal>
            <c:numRef>
              <c:f>'Filtering+Prediction'!$S$42:$S$49</c:f>
              <c:numCache>
                <c:formatCode>0.0</c:formatCode>
                <c:ptCount val="8"/>
                <c:pt idx="0">
                  <c:v>1208.4027796963721</c:v>
                </c:pt>
                <c:pt idx="1">
                  <c:v>1161.7662461111263</c:v>
                </c:pt>
                <c:pt idx="2">
                  <c:v>1119.4906102468346</c:v>
                </c:pt>
                <c:pt idx="3">
                  <c:v>1176.5709676279448</c:v>
                </c:pt>
                <c:pt idx="4">
                  <c:v>1142.3798751450986</c:v>
                </c:pt>
                <c:pt idx="5">
                  <c:v>1166.3541191220156</c:v>
                </c:pt>
                <c:pt idx="6">
                  <c:v>1169.1198533877498</c:v>
                </c:pt>
                <c:pt idx="7">
                  <c:v>1171.885587653484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9-4C0E-B920-B6CDBB459E51}"/>
            </c:ext>
          </c:extLst>
        </c:ser>
        <c:ser>
          <c:idx val="1"/>
          <c:order val="1"/>
          <c:tx>
            <c:v>Ground Truth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'Filtering+Prediction'!$J$42:$J$49</c:f>
              <c:strCache>
                <c:ptCount val="8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</c:strCache>
            </c:strRef>
          </c:xVal>
          <c:yVal>
            <c:numRef>
              <c:f>'Filtering+Prediction'!$L$42:$L$49</c:f>
              <c:numCache>
                <c:formatCode>0.0</c:formatCode>
                <c:ptCount val="8"/>
                <c:pt idx="0" formatCode="General">
                  <c:v>1200</c:v>
                </c:pt>
                <c:pt idx="1">
                  <c:v>1166.7398796718799</c:v>
                </c:pt>
                <c:pt idx="2">
                  <c:v>1141.8544530060858</c:v>
                </c:pt>
                <c:pt idx="3">
                  <c:v>1141.2074694846556</c:v>
                </c:pt>
                <c:pt idx="4">
                  <c:v>1141.2344681149682</c:v>
                </c:pt>
                <c:pt idx="5">
                  <c:v>1165.12090395942</c:v>
                </c:pt>
                <c:pt idx="6">
                  <c:v>1176.5644156034834</c:v>
                </c:pt>
                <c:pt idx="7">
                  <c:v>1221.0948046167309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F9-4C0E-B920-B6CDBB45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2304"/>
        <c:axId val="665619680"/>
      </c:scatterChart>
      <c:valAx>
        <c:axId val="66562230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(1 = March)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9680"/>
        <c:crosses val="autoZero"/>
        <c:crossBetween val="midCat"/>
      </c:valAx>
      <c:valAx>
        <c:axId val="6656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Homeless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Filtering</a:t>
            </a:r>
            <a:r>
              <a:rPr lang="en-US" baseline="0"/>
              <a:t> vs.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Filtering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Smoothing!$D$9:$I$9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xVal>
          <c:yVal>
            <c:numRef>
              <c:f>Smoothing!$D$15:$I$15</c:f>
              <c:numCache>
                <c:formatCode>General</c:formatCode>
                <c:ptCount val="6"/>
                <c:pt idx="0">
                  <c:v>1208.4027796963721</c:v>
                </c:pt>
                <c:pt idx="1">
                  <c:v>1161.7662461111263</c:v>
                </c:pt>
                <c:pt idx="2">
                  <c:v>1119.4906102468346</c:v>
                </c:pt>
                <c:pt idx="3">
                  <c:v>1176.5709676279448</c:v>
                </c:pt>
                <c:pt idx="4">
                  <c:v>1142.3798751450986</c:v>
                </c:pt>
                <c:pt idx="5">
                  <c:v>1166.3541191220156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C-4C0F-A59C-A63E0272D4E2}"/>
            </c:ext>
          </c:extLst>
        </c:ser>
        <c:ser>
          <c:idx val="1"/>
          <c:order val="1"/>
          <c:tx>
            <c:v>Smoothing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Smoothing!$D$9:$I$9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xVal>
          <c:yVal>
            <c:numRef>
              <c:f>Smoothing!$D$24:$I$24</c:f>
              <c:numCache>
                <c:formatCode>General</c:formatCode>
                <c:ptCount val="6"/>
                <c:pt idx="0">
                  <c:v>1201.8145059389744</c:v>
                </c:pt>
                <c:pt idx="1">
                  <c:v>1156.4609542090382</c:v>
                </c:pt>
                <c:pt idx="2">
                  <c:v>1126.3006236342596</c:v>
                </c:pt>
                <c:pt idx="3">
                  <c:v>1172.1218209606313</c:v>
                </c:pt>
                <c:pt idx="4">
                  <c:v>1145.1845478772373</c:v>
                </c:pt>
                <c:pt idx="5">
                  <c:v>1166.3541191220156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C-4C0F-A59C-A63E0272D4E2}"/>
            </c:ext>
          </c:extLst>
        </c:ser>
        <c:ser>
          <c:idx val="2"/>
          <c:order val="2"/>
          <c:tx>
            <c:v>Ground Truth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Smoothing!$D$9:$I$9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xVal>
          <c:yVal>
            <c:numRef>
              <c:f>Smoothing!$D$27:$I$27</c:f>
              <c:numCache>
                <c:formatCode>General</c:formatCode>
                <c:ptCount val="6"/>
                <c:pt idx="0">
                  <c:v>1200</c:v>
                </c:pt>
                <c:pt idx="1">
                  <c:v>1166.7398796718799</c:v>
                </c:pt>
                <c:pt idx="2">
                  <c:v>1141.8544530060858</c:v>
                </c:pt>
                <c:pt idx="3">
                  <c:v>1141.2074694846556</c:v>
                </c:pt>
                <c:pt idx="4">
                  <c:v>1141.2344681149682</c:v>
                </c:pt>
                <c:pt idx="5">
                  <c:v>1165.12090395942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9C-4C0F-A59C-A63E0272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36192"/>
        <c:axId val="583615120"/>
      </c:scatterChart>
      <c:valAx>
        <c:axId val="387836192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(1 = March)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5120"/>
        <c:crosses val="autoZero"/>
        <c:crossBetween val="midCat"/>
      </c:valAx>
      <c:valAx>
        <c:axId val="5836151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Homeless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Smoothing</a:t>
            </a:r>
            <a:r>
              <a:rPr lang="en-US" baseline="0"/>
              <a:t> - Filtering Differences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Smoothing-Filtering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Smoothing!$D$9:$I$9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xVal>
          <c:yVal>
            <c:numRef>
              <c:f>Smoothing!$D$29:$I$29</c:f>
              <c:numCache>
                <c:formatCode>General</c:formatCode>
                <c:ptCount val="6"/>
                <c:pt idx="0">
                  <c:v>-6.588273757397701</c:v>
                </c:pt>
                <c:pt idx="1">
                  <c:v>-5.3052919020881291</c:v>
                </c:pt>
                <c:pt idx="2">
                  <c:v>6.8100133874249877</c:v>
                </c:pt>
                <c:pt idx="3">
                  <c:v>-4.449146667313471</c:v>
                </c:pt>
                <c:pt idx="4">
                  <c:v>2.8046727321386697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C-4C0F-A59C-A63E0272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36192"/>
        <c:axId val="583615120"/>
      </c:scatterChart>
      <c:valAx>
        <c:axId val="387836192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(1 = March)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5120"/>
        <c:crosses val="autoZero"/>
        <c:crossBetween val="midCat"/>
      </c:valAx>
      <c:valAx>
        <c:axId val="583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Worcester City</a:t>
            </a:r>
            <a:r>
              <a:rPr lang="en-US" baseline="0"/>
              <a:t> </a:t>
            </a: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49638187749895"/>
                  <c:y val="0.42073986619441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'Worcester City Population Data'!$A$6:$A$14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'Worcester City Population Data'!$B$6:$B$14</c:f>
              <c:numCache>
                <c:formatCode>#,##0</c:formatCode>
                <c:ptCount val="9"/>
                <c:pt idx="0">
                  <c:v>179994</c:v>
                </c:pt>
                <c:pt idx="1">
                  <c:v>180519</c:v>
                </c:pt>
                <c:pt idx="2">
                  <c:v>181473</c:v>
                </c:pt>
                <c:pt idx="3">
                  <c:v>181901</c:v>
                </c:pt>
                <c:pt idx="4">
                  <c:v>182511</c:v>
                </c:pt>
                <c:pt idx="5">
                  <c:v>183382</c:v>
                </c:pt>
                <c:pt idx="6">
                  <c:v>183677</c:v>
                </c:pt>
                <c:pt idx="7">
                  <c:v>184743</c:v>
                </c:pt>
                <c:pt idx="8">
                  <c:v>185195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F-4A8F-A2DA-5B64D791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05152"/>
        <c:axId val="691505480"/>
      </c:scatterChart>
      <c:valAx>
        <c:axId val="6915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5480"/>
        <c:crosses val="autoZero"/>
        <c:crossBetween val="midCat"/>
      </c:valAx>
      <c:valAx>
        <c:axId val="6915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Worcester City Homeless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Homeless 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08439147809226"/>
                  <c:y val="-3.4145731783527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'Worcester City Population Data'!$A$2:$A$13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xVal>
          <c:yVal>
            <c:numRef>
              <c:f>'Worcester City Population Data'!$K$2:$K$13</c:f>
              <c:numCache>
                <c:formatCode>#,##0</c:formatCode>
                <c:ptCount val="12"/>
                <c:pt idx="0">
                  <c:v>843</c:v>
                </c:pt>
                <c:pt idx="1">
                  <c:v>923</c:v>
                </c:pt>
                <c:pt idx="2">
                  <c:v>952</c:v>
                </c:pt>
                <c:pt idx="3">
                  <c:v>1053</c:v>
                </c:pt>
                <c:pt idx="4">
                  <c:v>1060</c:v>
                </c:pt>
                <c:pt idx="5">
                  <c:v>982</c:v>
                </c:pt>
                <c:pt idx="6">
                  <c:v>1144</c:v>
                </c:pt>
                <c:pt idx="7">
                  <c:v>1202</c:v>
                </c:pt>
                <c:pt idx="8">
                  <c:v>937</c:v>
                </c:pt>
                <c:pt idx="9">
                  <c:v>1029</c:v>
                </c:pt>
                <c:pt idx="10">
                  <c:v>1062</c:v>
                </c:pt>
                <c:pt idx="11">
                  <c:v>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1-4A33-8DC1-CE7E296C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75040"/>
        <c:axId val="739073728"/>
      </c:scatterChart>
      <c:scatterChart>
        <c:scatterStyle val="lineMarker"/>
        <c:varyColors val="0"/>
        <c:ser>
          <c:idx val="1"/>
          <c:order val="1"/>
          <c:tx>
            <c:v>Detrended Counts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'Worcester City Population Data'!$A$2:$A$13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xVal>
          <c:yVal>
            <c:numRef>
              <c:f>'Worcester City Population Data'!$N$2:$N$13</c:f>
              <c:numCache>
                <c:formatCode>#,##0</c:formatCode>
                <c:ptCount val="12"/>
                <c:pt idx="0">
                  <c:v>-90.564102564105269</c:v>
                </c:pt>
                <c:pt idx="1">
                  <c:v>-27.158508158510813</c:v>
                </c:pt>
                <c:pt idx="2">
                  <c:v>-14.752913752916356</c:v>
                </c:pt>
                <c:pt idx="3">
                  <c:v>69.6526806526781</c:v>
                </c:pt>
                <c:pt idx="4">
                  <c:v>60.058275058272557</c:v>
                </c:pt>
                <c:pt idx="5">
                  <c:v>-34.536130536132987</c:v>
                </c:pt>
                <c:pt idx="6">
                  <c:v>110.86946386946147</c:v>
                </c:pt>
                <c:pt idx="7">
                  <c:v>152.27505827505593</c:v>
                </c:pt>
                <c:pt idx="8">
                  <c:v>-129.31934731934962</c:v>
                </c:pt>
                <c:pt idx="9">
                  <c:v>-53.913752913755161</c:v>
                </c:pt>
                <c:pt idx="10">
                  <c:v>-37.508158508160705</c:v>
                </c:pt>
                <c:pt idx="11">
                  <c:v>-5.102564102566248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61-4A33-8DC1-CE7E296C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34440"/>
        <c:axId val="682631488"/>
      </c:scatterChart>
      <c:valAx>
        <c:axId val="7390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3728"/>
        <c:crosses val="autoZero"/>
        <c:crossBetween val="midCat"/>
      </c:valAx>
      <c:valAx>
        <c:axId val="739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Homeless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5040"/>
        <c:crosses val="autoZero"/>
        <c:crossBetween val="midCat"/>
      </c:valAx>
      <c:valAx>
        <c:axId val="68263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Detrended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34440"/>
        <c:crosses val="max"/>
        <c:crossBetween val="midCat"/>
      </c:valAx>
      <c:valAx>
        <c:axId val="682634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48" fmlaLink="$I$42" fmlaRange="'Filtering+Prediction'!$J$42:$J$47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15</xdr:col>
      <xdr:colOff>129540</xdr:colOff>
      <xdr:row>17</xdr:row>
      <xdr:rowOff>63954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8CAB57-11AB-4C99-9325-2CF14E0F5AB5}"/>
            </a:ext>
          </a:extLst>
        </xdr:cNvPr>
        <xdr:cNvGrpSpPr/>
      </xdr:nvGrpSpPr>
      <xdr:grpSpPr>
        <a:xfrm>
          <a:off x="6214110" y="0"/>
          <a:ext cx="5924550" cy="3172914"/>
          <a:chOff x="4629150" y="1109526"/>
          <a:chExt cx="5631180" cy="317291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CBA2CEC-B055-4CB9-8EE7-9C31514C7A20}"/>
              </a:ext>
            </a:extLst>
          </xdr:cNvPr>
          <xdr:cNvGraphicFramePr>
            <a:graphicFrameLocks/>
          </xdr:cNvGraphicFramePr>
        </xdr:nvGraphicFramePr>
        <xdr:xfrm>
          <a:off x="4629150" y="1109526"/>
          <a:ext cx="5631180" cy="3172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A9FE64E6-2515-4FD7-8136-68CB24254D5B}"/>
                  </a:ext>
                </a:extLst>
              </xdr:cNvPr>
              <xdr:cNvSpPr/>
            </xdr:nvSpPr>
            <xdr:spPr bwMode="auto">
              <a:xfrm>
                <a:off x="9208770" y="3181350"/>
                <a:ext cx="887730" cy="23622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53340</xdr:colOff>
      <xdr:row>18</xdr:row>
      <xdr:rowOff>26670</xdr:rowOff>
    </xdr:from>
    <xdr:to>
      <xdr:col>15</xdr:col>
      <xdr:colOff>129540</xdr:colOff>
      <xdr:row>34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C582BA-6810-4EEC-848F-611313298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499110</xdr:colOff>
      <xdr:row>2</xdr:row>
      <xdr:rowOff>80010</xdr:rowOff>
    </xdr:from>
    <xdr:to>
      <xdr:col>19</xdr:col>
      <xdr:colOff>171450</xdr:colOff>
      <xdr:row>31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D44C-B330-40E7-BCAE-94D9430F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1013460</xdr:colOff>
      <xdr:row>31</xdr:row>
      <xdr:rowOff>41910</xdr:rowOff>
    </xdr:from>
    <xdr:to>
      <xdr:col>9</xdr:col>
      <xdr:colOff>163830</xdr:colOff>
      <xdr:row>48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B26C2-0553-46E7-B88A-240E3672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15</xdr:row>
      <xdr:rowOff>15240</xdr:rowOff>
    </xdr:from>
    <xdr:to>
      <xdr:col>3</xdr:col>
      <xdr:colOff>742950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C660D-1D8D-4CC2-89F5-43F25309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</xdr:colOff>
      <xdr:row>14</xdr:row>
      <xdr:rowOff>152400</xdr:rowOff>
    </xdr:from>
    <xdr:to>
      <xdr:col>12</xdr:col>
      <xdr:colOff>502920</xdr:colOff>
      <xdr:row>32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51DE-3132-4FE5-9FD7-C84794EC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F588-41DA-4B3B-8C2D-0DA5BE97C505}">
  <dimension ref="A1:V251"/>
  <sheetViews>
    <sheetView tabSelected="1" topLeftCell="A13" zoomScaleNormal="100" workbookViewId="0">
      <selection activeCell="I41" sqref="I41:T49"/>
    </sheetView>
  </sheetViews>
  <sheetFormatPr defaultRowHeight="14.4" x14ac:dyDescent="0.55000000000000004"/>
  <cols>
    <col min="1" max="1" width="23.3671875" customWidth="1"/>
    <col min="2" max="2" width="16.578125" customWidth="1"/>
    <col min="4" max="4" width="9.47265625" customWidth="1"/>
    <col min="10" max="10" width="12" bestFit="1" customWidth="1"/>
    <col min="11" max="11" width="10.41796875" customWidth="1"/>
    <col min="12" max="12" width="11.3125" customWidth="1"/>
    <col min="13" max="13" width="12" bestFit="1" customWidth="1"/>
    <col min="16" max="16" width="12" bestFit="1" customWidth="1"/>
    <col min="19" max="19" width="11.578125" bestFit="1" customWidth="1"/>
    <col min="22" max="22" width="10.578125" bestFit="1" customWidth="1"/>
  </cols>
  <sheetData>
    <row r="1" spans="1:22" x14ac:dyDescent="0.55000000000000004">
      <c r="A1" s="18" t="s">
        <v>93</v>
      </c>
      <c r="I1">
        <f>8*SQRT(VLOOKUP($I$42,$K$42:$T$47,4,FALSE))/30</f>
        <v>7.9207661645918597</v>
      </c>
      <c r="L1">
        <f>8*SQRT(VLOOKUP($I$42,$K$42:$T$47,4,FALSE))/30</f>
        <v>7.9207661645918597</v>
      </c>
      <c r="O1">
        <f>8*SQRT(VLOOKUP($I$42,$K$42:$T$47,6,FALSE))/30</f>
        <v>4.7058823529411766</v>
      </c>
      <c r="R1">
        <f>8*SQRT(VLOOKUP($I$42,$K$42:$T$47,8,FALSE))/30</f>
        <v>3.0211151381390389</v>
      </c>
      <c r="U1">
        <f>8*SQRT(VLOOKUP($I$42,$K$42:$T$47,10,FALSE))/30</f>
        <v>2.8227584746170615</v>
      </c>
    </row>
    <row r="2" spans="1:22" x14ac:dyDescent="0.55000000000000004">
      <c r="A2" t="s">
        <v>30</v>
      </c>
      <c r="B2" t="s">
        <v>52</v>
      </c>
      <c r="C2" t="s">
        <v>0</v>
      </c>
      <c r="D2">
        <f ca="1">_xlfn.NORM.INV(RAND(),D6-_xlfn.NORM.INV(RAND(), 'Worcester City Population Data'!M2/12, SQRT('Worcester City Population Data'!O2/12)), SQRT(D3))</f>
        <v>1217.2747644612568</v>
      </c>
      <c r="I2" t="s">
        <v>5</v>
      </c>
      <c r="L2" t="s">
        <v>1</v>
      </c>
      <c r="O2" t="s">
        <v>18</v>
      </c>
      <c r="R2" t="s">
        <v>25</v>
      </c>
      <c r="U2" t="s">
        <v>3</v>
      </c>
    </row>
    <row r="3" spans="1:22" x14ac:dyDescent="0.55000000000000004">
      <c r="B3" t="s">
        <v>53</v>
      </c>
      <c r="C3" t="s">
        <v>4</v>
      </c>
      <c r="D3">
        <f>((1900-1500)/4*1200/(1900+1500)/2)^2</f>
        <v>311.41868512110733</v>
      </c>
      <c r="I3">
        <f>VLOOKUP($I$42,$K$42:$T$47,2,FALSE)-4*SQRT(VLOOKUP($I$42,$K$42:$T$47,4,FALSE))</f>
        <v>1081.188507531122</v>
      </c>
      <c r="J3">
        <f>NORMDIST(I3,VLOOKUP($I$42,$K$42:$T$47,2,FALSE),SQRT(VLOOKUP($I$42,$K$42:$T$47,4,FALSE)), FALSE)</f>
        <v>4.5056323419197889E-6</v>
      </c>
      <c r="L3">
        <f ca="1">VLOOKUP($I$42,$K$42:$T$47,3,FALSE)-4*SQRT(VLOOKUP($I$42,$K$42:$T$47,4,FALSE))</f>
        <v>1099.8461391252461</v>
      </c>
      <c r="M3">
        <f ca="1">NORMDIST(L3,VLOOKUP($I$42,$K$42:$T$47,3,FALSE),SQRT(VLOOKUP($I$42,$K$42:$T$47,4,FALSE)), FALSE)</f>
        <v>4.5056323419197889E-6</v>
      </c>
      <c r="O3">
        <f ca="1">VLOOKUP($I$42,$K$42:$T$47,5,FALSE)-4*SQRT(VLOOKUP($I$42,$K$42:$T$47,6,FALSE))</f>
        <v>1137.4631191125081</v>
      </c>
      <c r="P3">
        <f ca="1">NORMDIST(O3,VLOOKUP($I$42,$K$42:$T$47,5,FALSE),SQRT(VLOOKUP($I$42,$K$42:$T$47,6,FALSE)), FALSE)</f>
        <v>7.5837127933436515E-6</v>
      </c>
      <c r="R3">
        <f ca="1">VLOOKUP($I$42,$K$42:$T$47,7,FALSE)-4*SQRT(VLOOKUP($I$42,$K$42:$T$47,8,FALSE))</f>
        <v>1161.1987454827511</v>
      </c>
      <c r="S3">
        <f ca="1">NORMDIST(R3,VLOOKUP($I$42,$K$42:$T$47,7,FALSE),SQRT(VLOOKUP($I$42,$K$42:$T$47,8,FALSE)), FALSE)</f>
        <v>1.181287656118702E-5</v>
      </c>
      <c r="U3">
        <f ca="1">VLOOKUP($I$42,$K$42:$T$47,9,FALSE)-4*SQRT(VLOOKUP($I$42,$K$42:$T$47,10,FALSE))</f>
        <v>1166.0614025771163</v>
      </c>
      <c r="V3">
        <f ca="1">NORMDIST(U3,VLOOKUP($I$42,$K$42:$T$47,9,FALSE),SQRT(VLOOKUP($I$42,$K$42:$T$47,10,FALSE)), FALSE)</f>
        <v>1.2642973362718067E-5</v>
      </c>
    </row>
    <row r="4" spans="1:22" x14ac:dyDescent="0.55000000000000004">
      <c r="I4">
        <f t="shared" ref="I4:I6" si="0">I3+I$1</f>
        <v>1089.1092736957139</v>
      </c>
      <c r="J4">
        <f>NORMDIST(I4,VLOOKUP($I$42,$K$42:$T$47,2,FALSE),SQRT(VLOOKUP($I$42,$K$42:$T$47,4,FALSE)), FALSE)</f>
        <v>1.2634603468715167E-5</v>
      </c>
      <c r="L4">
        <f t="shared" ref="L4:L6" ca="1" si="1">L3+L$1</f>
        <v>1107.766905289838</v>
      </c>
      <c r="M4">
        <f ca="1">NORMDIST(L4,VLOOKUP($I$42,$K$42:$T$47,3,FALSE),SQRT(VLOOKUP($I$42,$K$42:$T$47,4,FALSE)), FALSE)</f>
        <v>1.2634603468715167E-5</v>
      </c>
      <c r="O4">
        <f ca="1">O3+O$1</f>
        <v>1142.1690014654494</v>
      </c>
      <c r="P4">
        <f ca="1">NORMDIST(O4,VLOOKUP($I$42,$K$42:$T$47,5,FALSE),SQRT(VLOOKUP($I$42,$K$42:$T$47,6,FALSE)), FALSE)</f>
        <v>2.1266094677332932E-5</v>
      </c>
      <c r="R4">
        <f ca="1">R3+R$1</f>
        <v>1164.2198606208901</v>
      </c>
      <c r="S4">
        <f ca="1">NORMDIST(R4,VLOOKUP($I$42,$K$42:$T$47,7,FALSE),SQRT(VLOOKUP($I$42,$K$42:$T$47,8,FALSE)), FALSE)</f>
        <v>3.3125430538765269E-5</v>
      </c>
      <c r="U4">
        <f t="shared" ref="U4:U6" ca="1" si="2">U3+U$1</f>
        <v>1168.8841610517334</v>
      </c>
      <c r="V4">
        <f ca="1">NORMDIST(U4,VLOOKUP($I$42,$K$42:$T$47,9,FALSE),SQRT(VLOOKUP($I$42,$K$42:$T$47,10,FALSE)), FALSE)</f>
        <v>3.5453171271273755E-5</v>
      </c>
    </row>
    <row r="5" spans="1:22" x14ac:dyDescent="0.55000000000000004">
      <c r="A5" t="s">
        <v>31</v>
      </c>
      <c r="B5" t="s">
        <v>60</v>
      </c>
      <c r="D5" s="9">
        <f ca="1">D6-D2</f>
        <v>-17.274764461256837</v>
      </c>
      <c r="I5">
        <f t="shared" si="0"/>
        <v>1097.0300398603058</v>
      </c>
      <c r="J5">
        <f>NORMDIST(I5,VLOOKUP($I$42,$K$42:$T$47,2,FALSE),SQRT(VLOOKUP($I$42,$K$42:$T$47,4,FALSE)), FALSE)</f>
        <v>3.2997749322343035E-5</v>
      </c>
      <c r="L5">
        <f t="shared" ca="1" si="1"/>
        <v>1115.6876714544298</v>
      </c>
      <c r="M5">
        <f ca="1">NORMDIST(L5,VLOOKUP($I$42,$K$42:$T$47,3,FALSE),SQRT(VLOOKUP($I$42,$K$42:$T$47,4,FALSE)), FALSE)</f>
        <v>3.2997749322343035E-5</v>
      </c>
      <c r="O5">
        <f t="shared" ref="O5:O6" ca="1" si="3">O4+O$1</f>
        <v>1146.8748838183906</v>
      </c>
      <c r="P5">
        <f ca="1">NORMDIST(O5,VLOOKUP($I$42,$K$42:$T$47,5,FALSE),SQRT(VLOOKUP($I$42,$K$42:$T$47,6,FALSE)), FALSE)</f>
        <v>5.5540584472272901E-5</v>
      </c>
      <c r="R5">
        <f t="shared" ref="R5:R6" ca="1" si="4">R4+R$1</f>
        <v>1167.2409757590292</v>
      </c>
      <c r="S5">
        <f ca="1">NORMDIST(R5,VLOOKUP($I$42,$K$42:$T$47,7,FALSE),SQRT(VLOOKUP($I$42,$K$42:$T$47,8,FALSE)), FALSE)</f>
        <v>8.65135701187164E-5</v>
      </c>
      <c r="U5">
        <f t="shared" ca="1" si="2"/>
        <v>1171.7069195263505</v>
      </c>
      <c r="V5">
        <f ca="1">NORMDIST(U5,VLOOKUP($I$42,$K$42:$T$47,9,FALSE),SQRT(VLOOKUP($I$42,$K$42:$T$47,10,FALSE)), FALSE)</f>
        <v>9.2592922380852521E-5</v>
      </c>
    </row>
    <row r="6" spans="1:22" x14ac:dyDescent="0.55000000000000004">
      <c r="A6" t="s">
        <v>5</v>
      </c>
      <c r="B6" t="s">
        <v>58</v>
      </c>
      <c r="D6" s="1">
        <f>1200</f>
        <v>1200</v>
      </c>
      <c r="I6">
        <f t="shared" si="0"/>
        <v>1104.9508060248977</v>
      </c>
      <c r="J6">
        <f>NORMDIST(I6,VLOOKUP($I$42,$K$42:$T$47,2,FALSE),SQRT(VLOOKUP($I$42,$K$42:$T$47,4,FALSE)), FALSE)</f>
        <v>8.0264565385856055E-5</v>
      </c>
      <c r="L6">
        <f t="shared" ca="1" si="1"/>
        <v>1123.6084376190217</v>
      </c>
      <c r="M6">
        <f ca="1">NORMDIST(L6,VLOOKUP($I$42,$K$42:$T$47,3,FALSE),SQRT(VLOOKUP($I$42,$K$42:$T$47,4,FALSE)), FALSE)</f>
        <v>8.0264565385856055E-5</v>
      </c>
      <c r="O6">
        <f t="shared" ca="1" si="3"/>
        <v>1151.5807661713318</v>
      </c>
      <c r="P6">
        <f ca="1">NORMDIST(O6,VLOOKUP($I$42,$K$42:$T$47,5,FALSE),SQRT(VLOOKUP($I$42,$K$42:$T$47,6,FALSE)), FALSE)</f>
        <v>1.3509833141634622E-4</v>
      </c>
      <c r="R6">
        <f t="shared" ca="1" si="4"/>
        <v>1170.2620908971683</v>
      </c>
      <c r="S6">
        <f ca="1">NORMDIST(R6,VLOOKUP($I$42,$K$42:$T$47,7,FALSE),SQRT(VLOOKUP($I$42,$K$42:$T$47,8,FALSE)), FALSE)</f>
        <v>2.1043781009802781E-4</v>
      </c>
      <c r="U6">
        <f t="shared" ca="1" si="2"/>
        <v>1174.5296780009676</v>
      </c>
      <c r="V6">
        <f ca="1">NORMDIST(U6,VLOOKUP($I$42,$K$42:$T$47,9,FALSE),SQRT(VLOOKUP($I$42,$K$42:$T$47,10,FALSE)), FALSE)</f>
        <v>2.2522538128602748E-4</v>
      </c>
    </row>
    <row r="7" spans="1:22" x14ac:dyDescent="0.55000000000000004">
      <c r="I7">
        <f t="shared" ref="I7:I30" si="5">I6+I$1</f>
        <v>1112.8715721894896</v>
      </c>
      <c r="J7">
        <f>NORMDIST(I7,VLOOKUP($I$42,$K$42:$T$47,2,FALSE),SQRT(VLOOKUP($I$42,$K$42:$T$47,4,FALSE)), FALSE)</f>
        <v>1.8183615301724083E-4</v>
      </c>
      <c r="L7">
        <f t="shared" ref="L7:L30" ca="1" si="6">L6+L$1</f>
        <v>1131.5292037836136</v>
      </c>
      <c r="M7">
        <f ca="1">NORMDIST(L7,VLOOKUP($I$42,$K$42:$T$47,3,FALSE),SQRT(VLOOKUP($I$42,$K$42:$T$47,4,FALSE)), FALSE)</f>
        <v>1.8183615301724083E-4</v>
      </c>
      <c r="O7">
        <f t="shared" ref="O7:O30" ca="1" si="7">O6+O$1</f>
        <v>1156.286648524273</v>
      </c>
      <c r="P7">
        <f ca="1">NORMDIST(O7,VLOOKUP($I$42,$K$42:$T$47,5,FALSE),SQRT(VLOOKUP($I$42,$K$42:$T$47,6,FALSE)), FALSE)</f>
        <v>3.0605985026769373E-4</v>
      </c>
      <c r="R7">
        <f t="shared" ref="R7:R30" ca="1" si="8">R6+R$1</f>
        <v>1173.2832060353073</v>
      </c>
      <c r="S7">
        <f ca="1">NORMDIST(R7,VLOOKUP($I$42,$K$42:$T$47,7,FALSE),SQRT(VLOOKUP($I$42,$K$42:$T$47,8,FALSE)), FALSE)</f>
        <v>4.7673841692963393E-4</v>
      </c>
      <c r="U7">
        <f t="shared" ref="U7:U30" ca="1" si="9">U6+U$1</f>
        <v>1177.3524364755847</v>
      </c>
      <c r="V7">
        <f ca="1">NORMDIST(U7,VLOOKUP($I$42,$K$42:$T$47,9,FALSE),SQRT(VLOOKUP($I$42,$K$42:$T$47,10,FALSE)), FALSE)</f>
        <v>5.1023906624316471E-4</v>
      </c>
    </row>
    <row r="8" spans="1:22" x14ac:dyDescent="0.55000000000000004">
      <c r="B8" t="s">
        <v>61</v>
      </c>
      <c r="D8">
        <f>'Worcester City Population Data'!M2/12</f>
        <v>1.3828671328671327</v>
      </c>
      <c r="I8">
        <f t="shared" si="5"/>
        <v>1120.7923383540815</v>
      </c>
      <c r="J8">
        <f>NORMDIST(I8,VLOOKUP($I$42,$K$42:$T$47,2,FALSE),SQRT(VLOOKUP($I$42,$K$42:$T$47,4,FALSE)), FALSE)</f>
        <v>3.8366611804940208E-4</v>
      </c>
      <c r="L8">
        <f t="shared" ca="1" si="6"/>
        <v>1139.4499699482055</v>
      </c>
      <c r="M8">
        <f ca="1">NORMDIST(L8,VLOOKUP($I$42,$K$42:$T$47,3,FALSE),SQRT(VLOOKUP($I$42,$K$42:$T$47,4,FALSE)), FALSE)</f>
        <v>3.8366611804940208E-4</v>
      </c>
      <c r="O8">
        <f t="shared" ca="1" si="7"/>
        <v>1160.9925308772142</v>
      </c>
      <c r="P8">
        <f ca="1">NORMDIST(O8,VLOOKUP($I$42,$K$42:$T$47,5,FALSE),SQRT(VLOOKUP($I$42,$K$42:$T$47,6,FALSE)), FALSE)</f>
        <v>6.4577254134854929E-4</v>
      </c>
      <c r="R8">
        <f t="shared" ca="1" si="8"/>
        <v>1176.3043211734464</v>
      </c>
      <c r="S8">
        <f ca="1">NORMDIST(R8,VLOOKUP($I$42,$K$42:$T$47,7,FALSE),SQRT(VLOOKUP($I$42,$K$42:$T$47,8,FALSE)), FALSE)</f>
        <v>1.005896653186825E-3</v>
      </c>
      <c r="U8">
        <f t="shared" ca="1" si="9"/>
        <v>1180.1751949502018</v>
      </c>
      <c r="V8">
        <f ca="1">NORMDIST(U8,VLOOKUP($I$42,$K$42:$T$47,9,FALSE),SQRT(VLOOKUP($I$42,$K$42:$T$47,10,FALSE)), FALSE)</f>
        <v>1.076581518990374E-3</v>
      </c>
    </row>
    <row r="9" spans="1:22" x14ac:dyDescent="0.55000000000000004">
      <c r="B9" t="s">
        <v>59</v>
      </c>
      <c r="D9" s="10">
        <f ca="1">D2+D8</f>
        <v>1218.657631594124</v>
      </c>
      <c r="I9">
        <f t="shared" si="5"/>
        <v>1128.7131045186734</v>
      </c>
      <c r="J9">
        <f>NORMDIST(I9,VLOOKUP($I$42,$K$42:$T$47,2,FALSE),SQRT(VLOOKUP($I$42,$K$42:$T$47,4,FALSE)), FALSE)</f>
        <v>7.5395165331196496E-4</v>
      </c>
      <c r="L9">
        <f t="shared" ca="1" si="6"/>
        <v>1147.3707361127974</v>
      </c>
      <c r="M9">
        <f ca="1">NORMDIST(L9,VLOOKUP($I$42,$K$42:$T$47,3,FALSE),SQRT(VLOOKUP($I$42,$K$42:$T$47,4,FALSE)), FALSE)</f>
        <v>7.5395165331196496E-4</v>
      </c>
      <c r="O9">
        <f t="shared" ca="1" si="7"/>
        <v>1165.6984132301554</v>
      </c>
      <c r="P9">
        <f ca="1">NORMDIST(O9,VLOOKUP($I$42,$K$42:$T$47,5,FALSE),SQRT(VLOOKUP($I$42,$K$42:$T$47,6,FALSE)), FALSE)</f>
        <v>1.2690233833744867E-3</v>
      </c>
      <c r="R9">
        <f t="shared" ca="1" si="8"/>
        <v>1179.3254363115855</v>
      </c>
      <c r="S9">
        <f ca="1">NORMDIST(R9,VLOOKUP($I$42,$K$42:$T$47,7,FALSE),SQRT(VLOOKUP($I$42,$K$42:$T$47,8,FALSE)), FALSE)</f>
        <v>1.9767120656547657E-3</v>
      </c>
      <c r="U9">
        <f t="shared" ca="1" si="9"/>
        <v>1182.9979534248189</v>
      </c>
      <c r="V9">
        <f ca="1">NORMDIST(U9,VLOOKUP($I$42,$K$42:$T$47,9,FALSE),SQRT(VLOOKUP($I$42,$K$42:$T$47,10,FALSE)), FALSE)</f>
        <v>2.1156166207603024E-3</v>
      </c>
    </row>
    <row r="10" spans="1:22" x14ac:dyDescent="0.55000000000000004">
      <c r="I10">
        <f t="shared" si="5"/>
        <v>1136.6338706832653</v>
      </c>
      <c r="J10">
        <f>NORMDIST(I10,VLOOKUP($I$42,$K$42:$T$47,2,FALSE),SQRT(VLOOKUP($I$42,$K$42:$T$47,4,FALSE)), FALSE)</f>
        <v>1.3799088015314382E-3</v>
      </c>
      <c r="L10">
        <f t="shared" ca="1" si="6"/>
        <v>1155.2915022773893</v>
      </c>
      <c r="M10">
        <f ca="1">NORMDIST(L10,VLOOKUP($I$42,$K$42:$T$47,3,FALSE),SQRT(VLOOKUP($I$42,$K$42:$T$47,4,FALSE)), FALSE)</f>
        <v>1.3799088015314382E-3</v>
      </c>
      <c r="O10">
        <f t="shared" ca="1" si="7"/>
        <v>1170.4042955830967</v>
      </c>
      <c r="P10">
        <f ca="1">NORMDIST(O10,VLOOKUP($I$42,$K$42:$T$47,5,FALSE),SQRT(VLOOKUP($I$42,$K$42:$T$47,6,FALSE)), FALSE)</f>
        <v>2.3226111758960252E-3</v>
      </c>
      <c r="R10">
        <f t="shared" ca="1" si="8"/>
        <v>1182.3465514497245</v>
      </c>
      <c r="S10">
        <f ca="1">NORMDIST(R10,VLOOKUP($I$42,$K$42:$T$47,7,FALSE),SQRT(VLOOKUP($I$42,$K$42:$T$47,8,FALSE)), FALSE)</f>
        <v>3.6178478626689298E-3</v>
      </c>
      <c r="U10">
        <f t="shared" ca="1" si="9"/>
        <v>1185.820711899436</v>
      </c>
      <c r="V10">
        <f ca="1">NORMDIST(U10,VLOOKUP($I$42,$K$42:$T$47,9,FALSE),SQRT(VLOOKUP($I$42,$K$42:$T$47,10,FALSE)), FALSE)</f>
        <v>3.8720758590145123E-3</v>
      </c>
    </row>
    <row r="11" spans="1:22" x14ac:dyDescent="0.55000000000000004">
      <c r="A11" t="s">
        <v>6</v>
      </c>
      <c r="B11" t="s">
        <v>7</v>
      </c>
      <c r="C11" t="s">
        <v>8</v>
      </c>
      <c r="D11">
        <f>'Worcester City Population Data'!O2/12</f>
        <v>570.8419862965319</v>
      </c>
      <c r="I11">
        <f t="shared" si="5"/>
        <v>1144.5546368478572</v>
      </c>
      <c r="J11">
        <f>NORMDIST(I11,VLOOKUP($I$42,$K$42:$T$47,2,FALSE),SQRT(VLOOKUP($I$42,$K$42:$T$47,4,FALSE)), FALSE)</f>
        <v>2.3521992567921801E-3</v>
      </c>
      <c r="L11">
        <f t="shared" ca="1" si="6"/>
        <v>1163.2122684419812</v>
      </c>
      <c r="M11">
        <f ca="1">NORMDIST(L11,VLOOKUP($I$42,$K$42:$T$47,3,FALSE),SQRT(VLOOKUP($I$42,$K$42:$T$47,4,FALSE)), FALSE)</f>
        <v>2.3521992567921801E-3</v>
      </c>
      <c r="O11">
        <f t="shared" ca="1" si="7"/>
        <v>1175.1101779360379</v>
      </c>
      <c r="P11">
        <f ca="1">NORMDIST(O11,VLOOKUP($I$42,$K$42:$T$47,5,FALSE),SQRT(VLOOKUP($I$42,$K$42:$T$47,6,FALSE)), FALSE)</f>
        <v>3.9591343106853624E-3</v>
      </c>
      <c r="R11">
        <f t="shared" ca="1" si="8"/>
        <v>1185.3676665878636</v>
      </c>
      <c r="S11">
        <f ca="1">NORMDIST(R11,VLOOKUP($I$42,$K$42:$T$47,7,FALSE),SQRT(VLOOKUP($I$42,$K$42:$T$47,8,FALSE)), FALSE)</f>
        <v>6.1670010687029722E-3</v>
      </c>
      <c r="U11">
        <f t="shared" ca="1" si="9"/>
        <v>1188.6434703740531</v>
      </c>
      <c r="V11">
        <f ca="1">NORMDIST(U11,VLOOKUP($I$42,$K$42:$T$47,9,FALSE),SQRT(VLOOKUP($I$42,$K$42:$T$47,10,FALSE)), FALSE)</f>
        <v>6.6003593481749065E-3</v>
      </c>
    </row>
    <row r="12" spans="1:22" x14ac:dyDescent="0.55000000000000004">
      <c r="A12" t="s">
        <v>9</v>
      </c>
      <c r="B12" t="s">
        <v>10</v>
      </c>
      <c r="D12" s="11">
        <f>D3+D11</f>
        <v>882.26067141763929</v>
      </c>
      <c r="I12">
        <f t="shared" si="5"/>
        <v>1152.4754030124491</v>
      </c>
      <c r="J12">
        <f>NORMDIST(I12,VLOOKUP($I$42,$K$42:$T$47,2,FALSE),SQRT(VLOOKUP($I$42,$K$42:$T$47,4,FALSE)), FALSE)</f>
        <v>3.7343469852804752E-3</v>
      </c>
      <c r="L12">
        <f t="shared" ca="1" si="6"/>
        <v>1171.1330346065731</v>
      </c>
      <c r="M12">
        <f ca="1">NORMDIST(L12,VLOOKUP($I$42,$K$42:$T$47,3,FALSE),SQRT(VLOOKUP($I$42,$K$42:$T$47,4,FALSE)), FALSE)</f>
        <v>3.7343469852804752E-3</v>
      </c>
      <c r="O12">
        <f t="shared" ca="1" si="7"/>
        <v>1179.8160602889791</v>
      </c>
      <c r="P12">
        <f ca="1">NORMDIST(O12,VLOOKUP($I$42,$K$42:$T$47,5,FALSE),SQRT(VLOOKUP($I$42,$K$42:$T$47,6,FALSE)), FALSE)</f>
        <v>6.2855139651694023E-3</v>
      </c>
      <c r="R12">
        <f t="shared" ca="1" si="8"/>
        <v>1188.3887817260027</v>
      </c>
      <c r="S12">
        <f ca="1">NORMDIST(R12,VLOOKUP($I$42,$K$42:$T$47,7,FALSE),SQRT(VLOOKUP($I$42,$K$42:$T$47,8,FALSE)), FALSE)</f>
        <v>9.7907189548810704E-3</v>
      </c>
      <c r="U12">
        <f t="shared" ca="1" si="9"/>
        <v>1191.4662288486702</v>
      </c>
      <c r="V12">
        <f ca="1">NORMDIST(U12,VLOOKUP($I$42,$K$42:$T$47,9,FALSE),SQRT(VLOOKUP($I$42,$K$42:$T$47,10,FALSE)), FALSE)</f>
        <v>1.0478717720214959E-2</v>
      </c>
    </row>
    <row r="13" spans="1:22" x14ac:dyDescent="0.55000000000000004">
      <c r="D13" s="2"/>
      <c r="I13">
        <f t="shared" si="5"/>
        <v>1160.396169177041</v>
      </c>
      <c r="J13">
        <f>NORMDIST(I13,VLOOKUP($I$42,$K$42:$T$47,2,FALSE),SQRT(VLOOKUP($I$42,$K$42:$T$47,4,FALSE)), FALSE)</f>
        <v>5.5216905795188896E-3</v>
      </c>
      <c r="L13">
        <f t="shared" ca="1" si="6"/>
        <v>1179.053800771165</v>
      </c>
      <c r="M13">
        <f ca="1">NORMDIST(L13,VLOOKUP($I$42,$K$42:$T$47,3,FALSE),SQRT(VLOOKUP($I$42,$K$42:$T$47,4,FALSE)), FALSE)</f>
        <v>5.5216905795188896E-3</v>
      </c>
      <c r="O13">
        <f t="shared" ca="1" si="7"/>
        <v>1184.5219426419203</v>
      </c>
      <c r="P13">
        <f ca="1">NORMDIST(O13,VLOOKUP($I$42,$K$42:$T$47,5,FALSE),SQRT(VLOOKUP($I$42,$K$42:$T$47,6,FALSE)), FALSE)</f>
        <v>9.2939042316399767E-3</v>
      </c>
      <c r="R13">
        <f t="shared" ca="1" si="8"/>
        <v>1191.4098968641417</v>
      </c>
      <c r="S13">
        <f ca="1">NORMDIST(R13,VLOOKUP($I$42,$K$42:$T$47,7,FALSE),SQRT(VLOOKUP($I$42,$K$42:$T$47,8,FALSE)), FALSE)</f>
        <v>1.4476780233056812E-2</v>
      </c>
      <c r="U13">
        <f t="shared" ca="1" si="9"/>
        <v>1194.2889873232873</v>
      </c>
      <c r="V13">
        <f ca="1">NORMDIST(U13,VLOOKUP($I$42,$K$42:$T$47,9,FALSE),SQRT(VLOOKUP($I$42,$K$42:$T$47,10,FALSE)), FALSE)</f>
        <v>1.5494070890898373E-2</v>
      </c>
    </row>
    <row r="14" spans="1:22" x14ac:dyDescent="0.55000000000000004">
      <c r="A14" t="s">
        <v>32</v>
      </c>
      <c r="B14" t="s">
        <v>13</v>
      </c>
      <c r="D14" s="3">
        <f ca="1">NORMINV(RAND(), D6, SQRT(D15))</f>
        <v>1208.0513544066257</v>
      </c>
      <c r="I14">
        <f t="shared" si="5"/>
        <v>1168.3169353416329</v>
      </c>
      <c r="J14">
        <f>NORMDIST(I14,VLOOKUP($I$42,$K$42:$T$47,2,FALSE),SQRT(VLOOKUP($I$42,$K$42:$T$47,4,FALSE)), FALSE)</f>
        <v>7.6040734031277545E-3</v>
      </c>
      <c r="L14">
        <f t="shared" ca="1" si="6"/>
        <v>1186.9745669357569</v>
      </c>
      <c r="M14">
        <f ca="1">NORMDIST(L14,VLOOKUP($I$42,$K$42:$T$47,3,FALSE),SQRT(VLOOKUP($I$42,$K$42:$T$47,4,FALSE)), FALSE)</f>
        <v>7.6040734031277545E-3</v>
      </c>
      <c r="O14">
        <f t="shared" ca="1" si="7"/>
        <v>1189.2278249948615</v>
      </c>
      <c r="P14">
        <f ca="1">NORMDIST(O14,VLOOKUP($I$42,$K$42:$T$47,5,FALSE),SQRT(VLOOKUP($I$42,$K$42:$T$47,6,FALSE)), FALSE)</f>
        <v>1.2798893556470792E-2</v>
      </c>
      <c r="R14">
        <f t="shared" ca="1" si="8"/>
        <v>1194.4310120022808</v>
      </c>
      <c r="S14">
        <f ca="1">NORMDIST(R14,VLOOKUP($I$42,$K$42:$T$47,7,FALSE),SQRT(VLOOKUP($I$42,$K$42:$T$47,8,FALSE)), FALSE)</f>
        <v>1.99363759971324E-2</v>
      </c>
      <c r="U14">
        <f t="shared" ca="1" si="9"/>
        <v>1197.1117457979044</v>
      </c>
      <c r="V14">
        <f ca="1">NORMDIST(U14,VLOOKUP($I$42,$K$42:$T$47,9,FALSE),SQRT(VLOOKUP($I$42,$K$42:$T$47,10,FALSE)), FALSE)</f>
        <v>2.133731520644554E-2</v>
      </c>
    </row>
    <row r="15" spans="1:22" x14ac:dyDescent="0.55000000000000004">
      <c r="A15" t="s">
        <v>2</v>
      </c>
      <c r="B15" t="s">
        <v>14</v>
      </c>
      <c r="C15" t="s">
        <v>15</v>
      </c>
      <c r="D15">
        <f>D3</f>
        <v>311.41868512110733</v>
      </c>
      <c r="I15">
        <f t="shared" si="5"/>
        <v>1176.2377015062248</v>
      </c>
      <c r="J15">
        <f>NORMDIST(I15,VLOOKUP($I$42,$K$42:$T$47,2,FALSE),SQRT(VLOOKUP($I$42,$K$42:$T$47,4,FALSE)), FALSE)</f>
        <v>9.7529808519952327E-3</v>
      </c>
      <c r="L15">
        <f t="shared" ca="1" si="6"/>
        <v>1194.8953331003488</v>
      </c>
      <c r="M15">
        <f ca="1">NORMDIST(L15,VLOOKUP($I$42,$K$42:$T$47,3,FALSE),SQRT(VLOOKUP($I$42,$K$42:$T$47,4,FALSE)), FALSE)</f>
        <v>9.7529808519952327E-3</v>
      </c>
      <c r="O15">
        <f t="shared" ca="1" si="7"/>
        <v>1193.9337073478027</v>
      </c>
      <c r="P15">
        <f ca="1">NORMDIST(O15,VLOOKUP($I$42,$K$42:$T$47,5,FALSE),SQRT(VLOOKUP($I$42,$K$42:$T$47,6,FALSE)), FALSE)</f>
        <v>1.641585465648444E-2</v>
      </c>
      <c r="R15">
        <f t="shared" ca="1" si="8"/>
        <v>1197.4521271404199</v>
      </c>
      <c r="S15">
        <f ca="1">NORMDIST(R15,VLOOKUP($I$42,$K$42:$T$47,7,FALSE),SQRT(VLOOKUP($I$42,$K$42:$T$47,8,FALSE)), FALSE)</f>
        <v>2.557038616673939E-2</v>
      </c>
      <c r="U15">
        <f t="shared" ca="1" si="9"/>
        <v>1199.9345042725215</v>
      </c>
      <c r="V15">
        <f ca="1">NORMDIST(U15,VLOOKUP($I$42,$K$42:$T$47,9,FALSE),SQRT(VLOOKUP($I$42,$K$42:$T$47,10,FALSE)), FALSE)</f>
        <v>2.7367230115881106E-2</v>
      </c>
    </row>
    <row r="16" spans="1:22" x14ac:dyDescent="0.55000000000000004">
      <c r="I16">
        <f t="shared" si="5"/>
        <v>1184.1584676708167</v>
      </c>
      <c r="J16">
        <f>NORMDIST(I16,VLOOKUP($I$42,$K$42:$T$47,2,FALSE),SQRT(VLOOKUP($I$42,$K$42:$T$47,4,FALSE)), FALSE)</f>
        <v>1.1650519187529689E-2</v>
      </c>
      <c r="L16">
        <f t="shared" ca="1" si="6"/>
        <v>1202.8160992649407</v>
      </c>
      <c r="M16">
        <f ca="1">NORMDIST(L16,VLOOKUP($I$42,$K$42:$T$47,3,FALSE),SQRT(VLOOKUP($I$42,$K$42:$T$47,4,FALSE)), FALSE)</f>
        <v>1.1650519187529689E-2</v>
      </c>
      <c r="O16">
        <f t="shared" ca="1" si="7"/>
        <v>1198.639589700744</v>
      </c>
      <c r="P16">
        <f ca="1">NORMDIST(O16,VLOOKUP($I$42,$K$42:$T$47,5,FALSE),SQRT(VLOOKUP($I$42,$K$42:$T$47,6,FALSE)), FALSE)</f>
        <v>1.9609720613359319E-2</v>
      </c>
      <c r="R16">
        <f t="shared" ca="1" si="8"/>
        <v>1200.4732422785589</v>
      </c>
      <c r="S16">
        <f ca="1">NORMDIST(R16,VLOOKUP($I$42,$K$42:$T$47,7,FALSE),SQRT(VLOOKUP($I$42,$K$42:$T$47,8,FALSE)), FALSE)</f>
        <v>3.0545356254564407E-2</v>
      </c>
      <c r="U16">
        <f t="shared" ca="1" si="9"/>
        <v>1202.7572627471386</v>
      </c>
      <c r="V16">
        <f ca="1">NORMDIST(U16,VLOOKUP($I$42,$K$42:$T$47,9,FALSE),SQRT(VLOOKUP($I$42,$K$42:$T$47,10,FALSE)), FALSE)</f>
        <v>3.2691793864168456E-2</v>
      </c>
    </row>
    <row r="17" spans="1:22" x14ac:dyDescent="0.55000000000000004">
      <c r="A17" t="s">
        <v>32</v>
      </c>
      <c r="B17" t="s">
        <v>16</v>
      </c>
      <c r="D17" s="3">
        <f ca="1">NORMINV(RAND(), D6, SQRT(D18))</f>
        <v>1206.5154725548366</v>
      </c>
      <c r="I17">
        <f t="shared" si="5"/>
        <v>1192.0792338354086</v>
      </c>
      <c r="J17">
        <f>NORMDIST(I17,VLOOKUP($I$42,$K$42:$T$47,2,FALSE),SQRT(VLOOKUP($I$42,$K$42:$T$47,4,FALSE)), FALSE)</f>
        <v>1.2961940519242821E-2</v>
      </c>
      <c r="L17">
        <f t="shared" ca="1" si="6"/>
        <v>1210.7368654295326</v>
      </c>
      <c r="M17">
        <f ca="1">NORMDIST(L17,VLOOKUP($I$42,$K$42:$T$47,3,FALSE),SQRT(VLOOKUP($I$42,$K$42:$T$47,4,FALSE)), FALSE)</f>
        <v>1.2961940519242821E-2</v>
      </c>
      <c r="O17">
        <f t="shared" ca="1" si="7"/>
        <v>1203.3454720536852</v>
      </c>
      <c r="P17">
        <f ca="1">NORMDIST(O17,VLOOKUP($I$42,$K$42:$T$47,5,FALSE),SQRT(VLOOKUP($I$42,$K$42:$T$47,6,FALSE)), FALSE)</f>
        <v>2.1817056227107667E-2</v>
      </c>
      <c r="R17">
        <f t="shared" ca="1" si="8"/>
        <v>1203.494357416698</v>
      </c>
      <c r="S17">
        <f ca="1">NORMDIST(R17,VLOOKUP($I$42,$K$42:$T$47,7,FALSE),SQRT(VLOOKUP($I$42,$K$42:$T$47,8,FALSE)), FALSE)</f>
        <v>3.3983643521614884E-2</v>
      </c>
      <c r="U17">
        <f t="shared" ca="1" si="9"/>
        <v>1205.5800212217557</v>
      </c>
      <c r="V17">
        <f ca="1">NORMDIST(U17,VLOOKUP($I$42,$K$42:$T$47,9,FALSE),SQRT(VLOOKUP($I$42,$K$42:$T$47,10,FALSE)), FALSE)</f>
        <v>3.6371691313830938E-2</v>
      </c>
    </row>
    <row r="18" spans="1:22" x14ac:dyDescent="0.55000000000000004">
      <c r="B18" t="s">
        <v>17</v>
      </c>
      <c r="C18" t="s">
        <v>84</v>
      </c>
      <c r="D18">
        <f>('Worcester City Population Data'!E2+'Worcester City Population Data'!I6)/12</f>
        <v>128.3503595328684</v>
      </c>
      <c r="I18">
        <f t="shared" si="5"/>
        <v>1200.0000000000005</v>
      </c>
      <c r="J18">
        <f>NORMDIST(I18,VLOOKUP($I$42,$K$42:$T$47,2,FALSE),SQRT(VLOOKUP($I$42,$K$42:$T$47,4,FALSE)), FALSE)</f>
        <v>1.3431100716319465E-2</v>
      </c>
      <c r="L18">
        <f t="shared" ca="1" si="6"/>
        <v>1218.6576315941245</v>
      </c>
      <c r="M18">
        <f ca="1">NORMDIST(L18,VLOOKUP($I$42,$K$42:$T$47,3,FALSE),SQRT(VLOOKUP($I$42,$K$42:$T$47,4,FALSE)), FALSE)</f>
        <v>1.3431100716319465E-2</v>
      </c>
      <c r="O18">
        <f t="shared" ca="1" si="7"/>
        <v>1208.0513544066264</v>
      </c>
      <c r="P18">
        <f ca="1">NORMDIST(O18,VLOOKUP($I$42,$K$42:$T$47,5,FALSE),SQRT(VLOOKUP($I$42,$K$42:$T$47,6,FALSE)), FALSE)</f>
        <v>2.260672922274785E-2</v>
      </c>
      <c r="R18">
        <f t="shared" ca="1" si="8"/>
        <v>1206.5154725548371</v>
      </c>
      <c r="S18">
        <f ca="1">NORMDIST(R18,VLOOKUP($I$42,$K$42:$T$47,7,FALSE),SQRT(VLOOKUP($I$42,$K$42:$T$47,8,FALSE)), FALSE)</f>
        <v>3.5213688735007971E-2</v>
      </c>
      <c r="U18">
        <f t="shared" ca="1" si="9"/>
        <v>1208.4027796963728</v>
      </c>
      <c r="V18">
        <f ca="1">NORMDIST(U18,VLOOKUP($I$42,$K$42:$T$47,9,FALSE),SQRT(VLOOKUP($I$42,$K$42:$T$47,10,FALSE)), FALSE)</f>
        <v>3.7688172425549435E-2</v>
      </c>
    </row>
    <row r="19" spans="1:22" x14ac:dyDescent="0.55000000000000004">
      <c r="I19">
        <f t="shared" si="5"/>
        <v>1207.9207661645924</v>
      </c>
      <c r="J19">
        <f>NORMDIST(I19,VLOOKUP($I$42,$K$42:$T$47,2,FALSE),SQRT(VLOOKUP($I$42,$K$42:$T$47,4,FALSE)), FALSE)</f>
        <v>1.2961940519242715E-2</v>
      </c>
      <c r="L19">
        <f t="shared" ca="1" si="6"/>
        <v>1226.5783977587164</v>
      </c>
      <c r="M19">
        <f ca="1">NORMDIST(L19,VLOOKUP($I$42,$K$42:$T$47,3,FALSE),SQRT(VLOOKUP($I$42,$K$42:$T$47,4,FALSE)), FALSE)</f>
        <v>1.2961940519242715E-2</v>
      </c>
      <c r="O19">
        <f t="shared" ca="1" si="7"/>
        <v>1212.7572367595676</v>
      </c>
      <c r="P19">
        <f ca="1">NORMDIST(O19,VLOOKUP($I$42,$K$42:$T$47,5,FALSE),SQRT(VLOOKUP($I$42,$K$42:$T$47,6,FALSE)), FALSE)</f>
        <v>2.1817056227107216E-2</v>
      </c>
      <c r="R19">
        <f t="shared" ca="1" si="8"/>
        <v>1209.5365876929761</v>
      </c>
      <c r="S19">
        <f ca="1">NORMDIST(R19,VLOOKUP($I$42,$K$42:$T$47,7,FALSE),SQRT(VLOOKUP($I$42,$K$42:$T$47,8,FALSE)), FALSE)</f>
        <v>3.3983643521614162E-2</v>
      </c>
      <c r="U19">
        <f t="shared" ca="1" si="9"/>
        <v>1211.2255381709899</v>
      </c>
      <c r="V19">
        <f ca="1">NORMDIST(U19,VLOOKUP($I$42,$K$42:$T$47,9,FALSE),SQRT(VLOOKUP($I$42,$K$42:$T$47,10,FALSE)), FALSE)</f>
        <v>3.6371691313829682E-2</v>
      </c>
    </row>
    <row r="20" spans="1:22" x14ac:dyDescent="0.55000000000000004">
      <c r="B20" t="s">
        <v>54</v>
      </c>
      <c r="C20" s="4" t="s">
        <v>19</v>
      </c>
      <c r="D20" s="5" t="s">
        <v>18</v>
      </c>
      <c r="I20">
        <f t="shared" si="5"/>
        <v>1215.8415323291842</v>
      </c>
      <c r="J20">
        <f>NORMDIST(I20,VLOOKUP($I$42,$K$42:$T$47,2,FALSE),SQRT(VLOOKUP($I$42,$K$42:$T$47,4,FALSE)), FALSE)</f>
        <v>1.1650519187529499E-2</v>
      </c>
      <c r="L20">
        <f t="shared" ca="1" si="6"/>
        <v>1234.4991639233083</v>
      </c>
      <c r="M20">
        <f ca="1">NORMDIST(L20,VLOOKUP($I$42,$K$42:$T$47,3,FALSE),SQRT(VLOOKUP($I$42,$K$42:$T$47,4,FALSE)), FALSE)</f>
        <v>1.1650519187529499E-2</v>
      </c>
      <c r="O20">
        <f t="shared" ca="1" si="7"/>
        <v>1217.4631191125088</v>
      </c>
      <c r="P20">
        <f ca="1">NORMDIST(O20,VLOOKUP($I$42,$K$42:$T$47,5,FALSE),SQRT(VLOOKUP($I$42,$K$42:$T$47,6,FALSE)), FALSE)</f>
        <v>1.960972061335851E-2</v>
      </c>
      <c r="R20">
        <f t="shared" ca="1" si="8"/>
        <v>1212.5577028311152</v>
      </c>
      <c r="S20">
        <f ca="1">NORMDIST(R20,VLOOKUP($I$42,$K$42:$T$47,7,FALSE),SQRT(VLOOKUP($I$42,$K$42:$T$47,8,FALSE)), FALSE)</f>
        <v>3.0545356254563102E-2</v>
      </c>
      <c r="U20">
        <f t="shared" ca="1" si="9"/>
        <v>1214.048296645607</v>
      </c>
      <c r="V20">
        <f ca="1">NORMDIST(U20,VLOOKUP($I$42,$K$42:$T$47,9,FALSE),SQRT(VLOOKUP($I$42,$K$42:$T$47,10,FALSE)), FALSE)</f>
        <v>3.2691793864166208E-2</v>
      </c>
    </row>
    <row r="21" spans="1:22" x14ac:dyDescent="0.55000000000000004">
      <c r="C21" t="s">
        <v>20</v>
      </c>
      <c r="D21" s="1" t="s">
        <v>1</v>
      </c>
      <c r="I21">
        <f t="shared" si="5"/>
        <v>1223.7622984937761</v>
      </c>
      <c r="J21">
        <f>NORMDIST(I21,VLOOKUP($I$42,$K$42:$T$47,2,FALSE),SQRT(VLOOKUP($I$42,$K$42:$T$47,4,FALSE)), FALSE)</f>
        <v>9.7529808519949933E-3</v>
      </c>
      <c r="L21">
        <f t="shared" ca="1" si="6"/>
        <v>1242.4199300879002</v>
      </c>
      <c r="M21">
        <f ca="1">NORMDIST(L21,VLOOKUP($I$42,$K$42:$T$47,3,FALSE),SQRT(VLOOKUP($I$42,$K$42:$T$47,4,FALSE)), FALSE)</f>
        <v>9.7529808519949933E-3</v>
      </c>
      <c r="O21">
        <f t="shared" ca="1" si="7"/>
        <v>1222.16900146545</v>
      </c>
      <c r="P21">
        <f ca="1">NORMDIST(O21,VLOOKUP($I$42,$K$42:$T$47,5,FALSE),SQRT(VLOOKUP($I$42,$K$42:$T$47,6,FALSE)), FALSE)</f>
        <v>1.6415854656483424E-2</v>
      </c>
      <c r="R21">
        <f t="shared" ca="1" si="8"/>
        <v>1215.5788179692543</v>
      </c>
      <c r="S21">
        <f ca="1">NORMDIST(R21,VLOOKUP($I$42,$K$42:$T$47,7,FALSE),SQRT(VLOOKUP($I$42,$K$42:$T$47,8,FALSE)), FALSE)</f>
        <v>2.5570386166737739E-2</v>
      </c>
      <c r="U21">
        <f t="shared" ca="1" si="9"/>
        <v>1216.8710551202241</v>
      </c>
      <c r="V21">
        <f ca="1">NORMDIST(U21,VLOOKUP($I$42,$K$42:$T$47,9,FALSE),SQRT(VLOOKUP($I$42,$K$42:$T$47,10,FALSE)), FALSE)</f>
        <v>2.7367230115878282E-2</v>
      </c>
    </row>
    <row r="22" spans="1:22" x14ac:dyDescent="0.55000000000000004">
      <c r="I22">
        <f t="shared" si="5"/>
        <v>1231.683064658368</v>
      </c>
      <c r="J22">
        <f>NORMDIST(I22,VLOOKUP($I$42,$K$42:$T$47,2,FALSE),SQRT(VLOOKUP($I$42,$K$42:$T$47,4,FALSE)), FALSE)</f>
        <v>7.6040734031275056E-3</v>
      </c>
      <c r="L22">
        <f t="shared" ca="1" si="6"/>
        <v>1250.3406962524921</v>
      </c>
      <c r="M22">
        <f ca="1">NORMDIST(L22,VLOOKUP($I$42,$K$42:$T$47,3,FALSE),SQRT(VLOOKUP($I$42,$K$42:$T$47,4,FALSE)), FALSE)</f>
        <v>7.6040734031275056E-3</v>
      </c>
      <c r="O22">
        <f t="shared" ca="1" si="7"/>
        <v>1226.8748838183913</v>
      </c>
      <c r="P22">
        <f ca="1">NORMDIST(O22,VLOOKUP($I$42,$K$42:$T$47,5,FALSE),SQRT(VLOOKUP($I$42,$K$42:$T$47,6,FALSE)), FALSE)</f>
        <v>1.2798893556469734E-2</v>
      </c>
      <c r="R22">
        <f t="shared" ca="1" si="8"/>
        <v>1218.5999331073933</v>
      </c>
      <c r="S22">
        <f ca="1">NORMDIST(R22,VLOOKUP($I$42,$K$42:$T$47,7,FALSE),SQRT(VLOOKUP($I$42,$K$42:$T$47,8,FALSE)), FALSE)</f>
        <v>1.9936375997130693E-2</v>
      </c>
      <c r="U22">
        <f t="shared" ca="1" si="9"/>
        <v>1219.6938135948412</v>
      </c>
      <c r="V22">
        <f ca="1">NORMDIST(U22,VLOOKUP($I$42,$K$42:$T$47,9,FALSE),SQRT(VLOOKUP($I$42,$K$42:$T$47,10,FALSE)), FALSE)</f>
        <v>2.1337315206442612E-2</v>
      </c>
    </row>
    <row r="23" spans="1:22" x14ac:dyDescent="0.55000000000000004">
      <c r="B23" t="s">
        <v>54</v>
      </c>
      <c r="C23" s="6">
        <f>(D3+D11)/SUM(D3,D11,D15)</f>
        <v>0.73911026992699891</v>
      </c>
      <c r="D23" t="s">
        <v>21</v>
      </c>
      <c r="I23">
        <f t="shared" si="5"/>
        <v>1239.6038308229599</v>
      </c>
      <c r="J23">
        <f>NORMDIST(I23,VLOOKUP($I$42,$K$42:$T$47,2,FALSE),SQRT(VLOOKUP($I$42,$K$42:$T$47,4,FALSE)), FALSE)</f>
        <v>5.5216905795186641E-3</v>
      </c>
      <c r="L23">
        <f t="shared" ca="1" si="6"/>
        <v>1258.261462417084</v>
      </c>
      <c r="M23">
        <f ca="1">NORMDIST(L23,VLOOKUP($I$42,$K$42:$T$47,3,FALSE),SQRT(VLOOKUP($I$42,$K$42:$T$47,4,FALSE)), FALSE)</f>
        <v>5.5216905795186641E-3</v>
      </c>
      <c r="O23">
        <f t="shared" ca="1" si="7"/>
        <v>1231.5807661713325</v>
      </c>
      <c r="P23">
        <f ca="1">NORMDIST(O23,VLOOKUP($I$42,$K$42:$T$47,5,FALSE),SQRT(VLOOKUP($I$42,$K$42:$T$47,6,FALSE)), FALSE)</f>
        <v>9.2939042316390191E-3</v>
      </c>
      <c r="R23">
        <f t="shared" ca="1" si="8"/>
        <v>1221.6210482455324</v>
      </c>
      <c r="S23">
        <f ca="1">NORMDIST(R23,VLOOKUP($I$42,$K$42:$T$47,7,FALSE),SQRT(VLOOKUP($I$42,$K$42:$T$47,8,FALSE)), FALSE)</f>
        <v>1.4476780233055261E-2</v>
      </c>
      <c r="U23">
        <f t="shared" ca="1" si="9"/>
        <v>1222.5165720694583</v>
      </c>
      <c r="V23">
        <f ca="1">NORMDIST(U23,VLOOKUP($I$42,$K$42:$T$47,9,FALSE),SQRT(VLOOKUP($I$42,$K$42:$T$47,10,FALSE)), FALSE)</f>
        <v>1.5494070890895712E-2</v>
      </c>
    </row>
    <row r="24" spans="1:22" x14ac:dyDescent="0.55000000000000004">
      <c r="C24" s="6">
        <f>1-C23</f>
        <v>0.26088973007300109</v>
      </c>
      <c r="D24" t="s">
        <v>11</v>
      </c>
      <c r="I24">
        <f t="shared" si="5"/>
        <v>1247.5245969875518</v>
      </c>
      <c r="J24">
        <f>NORMDIST(I24,VLOOKUP($I$42,$K$42:$T$47,2,FALSE),SQRT(VLOOKUP($I$42,$K$42:$T$47,4,FALSE)), FALSE)</f>
        <v>3.7343469852802922E-3</v>
      </c>
      <c r="L24">
        <f t="shared" ca="1" si="6"/>
        <v>1266.1822285816759</v>
      </c>
      <c r="M24">
        <f ca="1">NORMDIST(L24,VLOOKUP($I$42,$K$42:$T$47,3,FALSE),SQRT(VLOOKUP($I$42,$K$42:$T$47,4,FALSE)), FALSE)</f>
        <v>3.7343469852802922E-3</v>
      </c>
      <c r="O24">
        <f t="shared" ca="1" si="7"/>
        <v>1236.2866485242737</v>
      </c>
      <c r="P24">
        <f ca="1">NORMDIST(O24,VLOOKUP($I$42,$K$42:$T$47,5,FALSE),SQRT(VLOOKUP($I$42,$K$42:$T$47,6,FALSE)), FALSE)</f>
        <v>6.2855139651686225E-3</v>
      </c>
      <c r="R24">
        <f t="shared" ca="1" si="8"/>
        <v>1224.6421633836715</v>
      </c>
      <c r="S24">
        <f ca="1">NORMDIST(R24,VLOOKUP($I$42,$K$42:$T$47,7,FALSE),SQRT(VLOOKUP($I$42,$K$42:$T$47,8,FALSE)), FALSE)</f>
        <v>9.7907189548798127E-3</v>
      </c>
      <c r="U24">
        <f t="shared" ca="1" si="9"/>
        <v>1225.3393305440754</v>
      </c>
      <c r="V24">
        <f ca="1">NORMDIST(U24,VLOOKUP($I$42,$K$42:$T$47,9,FALSE),SQRT(VLOOKUP($I$42,$K$42:$T$47,10,FALSE)), FALSE)</f>
        <v>1.0478717720212799E-2</v>
      </c>
    </row>
    <row r="25" spans="1:22" x14ac:dyDescent="0.55000000000000004">
      <c r="I25">
        <f t="shared" si="5"/>
        <v>1255.4453631521437</v>
      </c>
      <c r="J25">
        <f>NORMDIST(I25,VLOOKUP($I$42,$K$42:$T$47,2,FALSE),SQRT(VLOOKUP($I$42,$K$42:$T$47,4,FALSE)), FALSE)</f>
        <v>2.3521992567920457E-3</v>
      </c>
      <c r="L25">
        <f t="shared" ca="1" si="6"/>
        <v>1274.1029947462678</v>
      </c>
      <c r="M25">
        <f ca="1">NORMDIST(L25,VLOOKUP($I$42,$K$42:$T$47,3,FALSE),SQRT(VLOOKUP($I$42,$K$42:$T$47,4,FALSE)), FALSE)</f>
        <v>2.3521992567920457E-3</v>
      </c>
      <c r="O25">
        <f t="shared" ca="1" si="7"/>
        <v>1240.9925308772149</v>
      </c>
      <c r="P25">
        <f ca="1">NORMDIST(O25,VLOOKUP($I$42,$K$42:$T$47,5,FALSE),SQRT(VLOOKUP($I$42,$K$42:$T$47,6,FALSE)), FALSE)</f>
        <v>3.9591343106847917E-3</v>
      </c>
      <c r="R25">
        <f t="shared" ca="1" si="8"/>
        <v>1227.6632785218105</v>
      </c>
      <c r="S25">
        <f ca="1">NORMDIST(R25,VLOOKUP($I$42,$K$42:$T$47,7,FALSE),SQRT(VLOOKUP($I$42,$K$42:$T$47,8,FALSE)), FALSE)</f>
        <v>6.1670010687020511E-3</v>
      </c>
      <c r="U25">
        <f t="shared" ca="1" si="9"/>
        <v>1228.1620890186925</v>
      </c>
      <c r="V25">
        <f ca="1">NORMDIST(U25,VLOOKUP($I$42,$K$42:$T$47,9,FALSE),SQRT(VLOOKUP($I$42,$K$42:$T$47,10,FALSE)), FALSE)</f>
        <v>6.6003593481733184E-3</v>
      </c>
    </row>
    <row r="26" spans="1:22" x14ac:dyDescent="0.55000000000000004">
      <c r="B26" t="s">
        <v>55</v>
      </c>
      <c r="D26" s="7">
        <f ca="1">(C23*D14+C24*D9)</f>
        <v>1210.8184231991515</v>
      </c>
      <c r="I26">
        <f t="shared" si="5"/>
        <v>1263.3661293167356</v>
      </c>
      <c r="J26">
        <f>NORMDIST(I26,VLOOKUP($I$42,$K$42:$T$47,2,FALSE),SQRT(VLOOKUP($I$42,$K$42:$T$47,4,FALSE)), FALSE)</f>
        <v>1.3799088015313482E-3</v>
      </c>
      <c r="L26">
        <f t="shared" ca="1" si="6"/>
        <v>1282.0237609108597</v>
      </c>
      <c r="M26">
        <f ca="1">NORMDIST(L26,VLOOKUP($I$42,$K$42:$T$47,3,FALSE),SQRT(VLOOKUP($I$42,$K$42:$T$47,4,FALSE)), FALSE)</f>
        <v>1.3799088015313482E-3</v>
      </c>
      <c r="O26">
        <f t="shared" ca="1" si="7"/>
        <v>1245.6984132301561</v>
      </c>
      <c r="P26">
        <f ca="1">NORMDIST(O26,VLOOKUP($I$42,$K$42:$T$47,5,FALSE),SQRT(VLOOKUP($I$42,$K$42:$T$47,6,FALSE)), FALSE)</f>
        <v>2.3226111758956427E-3</v>
      </c>
      <c r="R26">
        <f t="shared" ca="1" si="8"/>
        <v>1230.6843936599496</v>
      </c>
      <c r="S26">
        <f ca="1">NORMDIST(R26,VLOOKUP($I$42,$K$42:$T$47,7,FALSE),SQRT(VLOOKUP($I$42,$K$42:$T$47,8,FALSE)), FALSE)</f>
        <v>3.6178478626683096E-3</v>
      </c>
      <c r="U26">
        <f t="shared" ca="1" si="9"/>
        <v>1230.9848474933096</v>
      </c>
      <c r="V26">
        <f ca="1">NORMDIST(U26,VLOOKUP($I$42,$K$42:$T$47,9,FALSE),SQRT(VLOOKUP($I$42,$K$42:$T$47,10,FALSE)), FALSE)</f>
        <v>3.8720758590134476E-3</v>
      </c>
    </row>
    <row r="27" spans="1:22" x14ac:dyDescent="0.55000000000000004">
      <c r="A27" t="s">
        <v>33</v>
      </c>
      <c r="B27" t="s">
        <v>22</v>
      </c>
      <c r="D27" s="7">
        <f>(D12*D15)/SUM(D12,D15)</f>
        <v>230.1727484201727</v>
      </c>
      <c r="I27">
        <f t="shared" si="5"/>
        <v>1271.2868954813275</v>
      </c>
      <c r="J27">
        <f>NORMDIST(I27,VLOOKUP($I$42,$K$42:$T$47,2,FALSE),SQRT(VLOOKUP($I$42,$K$42:$T$47,4,FALSE)), FALSE)</f>
        <v>7.5395165331190966E-4</v>
      </c>
      <c r="L27">
        <f t="shared" ca="1" si="6"/>
        <v>1289.9445270754516</v>
      </c>
      <c r="M27">
        <f ca="1">NORMDIST(L27,VLOOKUP($I$42,$K$42:$T$47,3,FALSE),SQRT(VLOOKUP($I$42,$K$42:$T$47,4,FALSE)), FALSE)</f>
        <v>7.5395165331190966E-4</v>
      </c>
      <c r="O27">
        <f t="shared" ca="1" si="7"/>
        <v>1250.4042955830973</v>
      </c>
      <c r="P27">
        <f ca="1">NORMDIST(O27,VLOOKUP($I$42,$K$42:$T$47,5,FALSE),SQRT(VLOOKUP($I$42,$K$42:$T$47,6,FALSE)), FALSE)</f>
        <v>1.2690233833742509E-3</v>
      </c>
      <c r="R27">
        <f t="shared" ca="1" si="8"/>
        <v>1233.7055087980887</v>
      </c>
      <c r="S27">
        <f ca="1">NORMDIST(R27,VLOOKUP($I$42,$K$42:$T$47,7,FALSE),SQRT(VLOOKUP($I$42,$K$42:$T$47,8,FALSE)), FALSE)</f>
        <v>1.9767120656543841E-3</v>
      </c>
      <c r="U27">
        <f t="shared" ca="1" si="9"/>
        <v>1233.8076059679267</v>
      </c>
      <c r="V27">
        <f ca="1">NORMDIST(U27,VLOOKUP($I$42,$K$42:$T$47,9,FALSE),SQRT(VLOOKUP($I$42,$K$42:$T$47,10,FALSE)), FALSE)</f>
        <v>2.1156166207596484E-3</v>
      </c>
    </row>
    <row r="28" spans="1:22" x14ac:dyDescent="0.55000000000000004">
      <c r="I28">
        <f t="shared" si="5"/>
        <v>1279.2076616459194</v>
      </c>
      <c r="J28">
        <f>NORMDIST(I28,VLOOKUP($I$42,$K$42:$T$47,2,FALSE),SQRT(VLOOKUP($I$42,$K$42:$T$47,4,FALSE)), FALSE)</f>
        <v>3.8366611804937074E-4</v>
      </c>
      <c r="L28">
        <f t="shared" ca="1" si="6"/>
        <v>1297.8652932400435</v>
      </c>
      <c r="M28">
        <f ca="1">NORMDIST(L28,VLOOKUP($I$42,$K$42:$T$47,3,FALSE),SQRT(VLOOKUP($I$42,$K$42:$T$47,4,FALSE)), FALSE)</f>
        <v>3.8366611804937074E-4</v>
      </c>
      <c r="O28">
        <f t="shared" ca="1" si="7"/>
        <v>1255.1101779360386</v>
      </c>
      <c r="P28">
        <f ca="1">NORMDIST(O28,VLOOKUP($I$42,$K$42:$T$47,5,FALSE),SQRT(VLOOKUP($I$42,$K$42:$T$47,6,FALSE)), FALSE)</f>
        <v>6.4577254134841615E-4</v>
      </c>
      <c r="R28">
        <f t="shared" ca="1" si="8"/>
        <v>1236.7266239362277</v>
      </c>
      <c r="S28">
        <f ca="1">NORMDIST(R28,VLOOKUP($I$42,$K$42:$T$47,7,FALSE),SQRT(VLOOKUP($I$42,$K$42:$T$47,8,FALSE)), FALSE)</f>
        <v>1.0058966531866105E-3</v>
      </c>
      <c r="U28">
        <f t="shared" ca="1" si="9"/>
        <v>1236.6303644425439</v>
      </c>
      <c r="V28">
        <f ca="1">NORMDIST(U28,VLOOKUP($I$42,$K$42:$T$47,9,FALSE),SQRT(VLOOKUP($I$42,$K$42:$T$47,10,FALSE)), FALSE)</f>
        <v>1.0765815189900038E-3</v>
      </c>
    </row>
    <row r="29" spans="1:22" x14ac:dyDescent="0.55000000000000004">
      <c r="B29" t="s">
        <v>56</v>
      </c>
      <c r="C29" s="4" t="s">
        <v>26</v>
      </c>
      <c r="D29" s="5" t="s">
        <v>25</v>
      </c>
      <c r="I29">
        <f t="shared" si="5"/>
        <v>1287.1284278105113</v>
      </c>
      <c r="J29">
        <f>NORMDIST(I29,VLOOKUP($I$42,$K$42:$T$47,2,FALSE),SQRT(VLOOKUP($I$42,$K$42:$T$47,4,FALSE)), FALSE)</f>
        <v>1.8183615301722451E-4</v>
      </c>
      <c r="L29">
        <f t="shared" ca="1" si="6"/>
        <v>1305.7860594046354</v>
      </c>
      <c r="M29">
        <f ca="1">NORMDIST(L29,VLOOKUP($I$42,$K$42:$T$47,3,FALSE),SQRT(VLOOKUP($I$42,$K$42:$T$47,4,FALSE)), FALSE)</f>
        <v>1.8183615301722451E-4</v>
      </c>
      <c r="O29">
        <f t="shared" ca="1" si="7"/>
        <v>1259.8160602889798</v>
      </c>
      <c r="P29">
        <f ca="1">NORMDIST(O29,VLOOKUP($I$42,$K$42:$T$47,5,FALSE),SQRT(VLOOKUP($I$42,$K$42:$T$47,6,FALSE)), FALSE)</f>
        <v>3.0605985026762445E-4</v>
      </c>
      <c r="R29">
        <f t="shared" ca="1" si="8"/>
        <v>1239.7477390743668</v>
      </c>
      <c r="S29">
        <f ca="1">NORMDIST(R29,VLOOKUP($I$42,$K$42:$T$47,7,FALSE),SQRT(VLOOKUP($I$42,$K$42:$T$47,8,FALSE)), FALSE)</f>
        <v>4.7673841692952128E-4</v>
      </c>
      <c r="U29">
        <f t="shared" ca="1" si="9"/>
        <v>1239.453122917161</v>
      </c>
      <c r="V29">
        <f ca="1">NORMDIST(U29,VLOOKUP($I$42,$K$42:$T$47,9,FALSE),SQRT(VLOOKUP($I$42,$K$42:$T$47,10,FALSE)), FALSE)</f>
        <v>5.1023906624297172E-4</v>
      </c>
    </row>
    <row r="30" spans="1:22" x14ac:dyDescent="0.55000000000000004">
      <c r="C30" t="s">
        <v>27</v>
      </c>
      <c r="D30" s="1" t="s">
        <v>1</v>
      </c>
      <c r="I30">
        <f t="shared" si="5"/>
        <v>1295.0491939751032</v>
      </c>
      <c r="J30">
        <f>NORMDIST(I30,VLOOKUP($I$42,$K$42:$T$47,2,FALSE),SQRT(VLOOKUP($I$42,$K$42:$T$47,4,FALSE)), FALSE)</f>
        <v>8.0264565385848141E-5</v>
      </c>
      <c r="L30">
        <f t="shared" ca="1" si="6"/>
        <v>1313.7068255692272</v>
      </c>
      <c r="M30">
        <f ca="1">NORMDIST(L30,VLOOKUP($I$42,$K$42:$T$47,3,FALSE),SQRT(VLOOKUP($I$42,$K$42:$T$47,4,FALSE)), FALSE)</f>
        <v>8.0264565385848141E-5</v>
      </c>
      <c r="O30">
        <f t="shared" ca="1" si="7"/>
        <v>1264.521942641921</v>
      </c>
      <c r="P30">
        <f ca="1">NORMDIST(O30,VLOOKUP($I$42,$K$42:$T$47,5,FALSE),SQRT(VLOOKUP($I$42,$K$42:$T$47,6,FALSE)), FALSE)</f>
        <v>1.3509833141631263E-4</v>
      </c>
      <c r="R30">
        <f t="shared" ca="1" si="8"/>
        <v>1242.7688542125059</v>
      </c>
      <c r="S30">
        <f ca="1">NORMDIST(R30,VLOOKUP($I$42,$K$42:$T$47,7,FALSE),SQRT(VLOOKUP($I$42,$K$42:$T$47,8,FALSE)), FALSE)</f>
        <v>2.1043781009797373E-4</v>
      </c>
      <c r="U30">
        <f t="shared" ca="1" si="9"/>
        <v>1242.2758813917781</v>
      </c>
      <c r="V30">
        <f ca="1">NORMDIST(U30,VLOOKUP($I$42,$K$42:$T$47,9,FALSE),SQRT(VLOOKUP($I$42,$K$42:$T$47,10,FALSE)), FALSE)</f>
        <v>2.2522538128593464E-4</v>
      </c>
    </row>
    <row r="32" spans="1:22" x14ac:dyDescent="0.55000000000000004">
      <c r="B32" t="s">
        <v>56</v>
      </c>
      <c r="C32" s="6">
        <f>D12/(D12+D18)</f>
        <v>0.87299727036211805</v>
      </c>
      <c r="D32" t="s">
        <v>24</v>
      </c>
    </row>
    <row r="33" spans="1:20" ht="14.4" customHeight="1" x14ac:dyDescent="0.55000000000000004">
      <c r="C33" s="6">
        <f>1-C32</f>
        <v>0.12700272963788195</v>
      </c>
      <c r="D33" t="s">
        <v>11</v>
      </c>
      <c r="J33" s="2" t="s">
        <v>114</v>
      </c>
      <c r="M33" s="25"/>
      <c r="N33" s="25"/>
      <c r="O33" s="25"/>
      <c r="P33" s="25"/>
    </row>
    <row r="35" spans="1:20" x14ac:dyDescent="0.55000000000000004">
      <c r="B35" t="s">
        <v>57</v>
      </c>
      <c r="D35" s="7">
        <f ca="1">(C32*D14+C33*D26)</f>
        <v>1208.4027796963721</v>
      </c>
    </row>
    <row r="36" spans="1:20" x14ac:dyDescent="0.55000000000000004">
      <c r="A36" t="s">
        <v>33</v>
      </c>
      <c r="B36" t="s">
        <v>23</v>
      </c>
      <c r="D36" s="7">
        <f>(D12*D18)/SUM(D12,D18)</f>
        <v>112.04951352219057</v>
      </c>
    </row>
    <row r="38" spans="1:20" x14ac:dyDescent="0.55000000000000004">
      <c r="A38" t="s">
        <v>12</v>
      </c>
    </row>
    <row r="39" spans="1:20" x14ac:dyDescent="0.55000000000000004">
      <c r="A39" t="s">
        <v>33</v>
      </c>
      <c r="B39" t="s">
        <v>52</v>
      </c>
      <c r="C39" t="s">
        <v>0</v>
      </c>
      <c r="D39" s="7">
        <f ca="1">D35</f>
        <v>1208.4027796963721</v>
      </c>
    </row>
    <row r="40" spans="1:20" x14ac:dyDescent="0.55000000000000004">
      <c r="B40" t="s">
        <v>53</v>
      </c>
      <c r="C40" t="s">
        <v>4</v>
      </c>
      <c r="D40" s="7">
        <f>(D12*D18)/SUM(D12,D18)</f>
        <v>112.04951352219057</v>
      </c>
    </row>
    <row r="41" spans="1:20" ht="43.2" x14ac:dyDescent="0.55000000000000004">
      <c r="J41" s="24" t="s">
        <v>62</v>
      </c>
      <c r="K41" s="24" t="s">
        <v>115</v>
      </c>
      <c r="L41" s="26" t="s">
        <v>116</v>
      </c>
      <c r="M41" s="26" t="s">
        <v>117</v>
      </c>
      <c r="N41" s="27" t="s">
        <v>118</v>
      </c>
      <c r="O41" s="28" t="s">
        <v>119</v>
      </c>
      <c r="P41" s="28" t="s">
        <v>120</v>
      </c>
      <c r="Q41" s="28" t="s">
        <v>121</v>
      </c>
      <c r="R41" s="28" t="s">
        <v>122</v>
      </c>
      <c r="S41" s="29" t="s">
        <v>123</v>
      </c>
      <c r="T41" s="29" t="s">
        <v>124</v>
      </c>
    </row>
    <row r="42" spans="1:20" x14ac:dyDescent="0.55000000000000004">
      <c r="A42" t="s">
        <v>34</v>
      </c>
      <c r="B42" t="s">
        <v>60</v>
      </c>
      <c r="D42" s="9">
        <f ca="1">_xlfn.NORM.INV(RAND(), 'Worcester City Population Data'!$M$2/12, SQRT('Worcester City Population Data'!$O$2/12))</f>
        <v>-33.260120328120237</v>
      </c>
      <c r="I42">
        <v>1</v>
      </c>
      <c r="J42" t="s">
        <v>64</v>
      </c>
      <c r="K42">
        <v>1</v>
      </c>
      <c r="L42">
        <f>D6</f>
        <v>1200</v>
      </c>
      <c r="M42" s="9">
        <f ca="1">D9</f>
        <v>1218.657631594124</v>
      </c>
      <c r="N42" s="9">
        <f>D12</f>
        <v>882.26067141763929</v>
      </c>
      <c r="O42" s="9">
        <f ca="1">D14</f>
        <v>1208.0513544066257</v>
      </c>
      <c r="P42">
        <f>D15</f>
        <v>311.41868512110733</v>
      </c>
      <c r="Q42" s="9">
        <f ca="1">D17</f>
        <v>1206.5154725548366</v>
      </c>
      <c r="R42">
        <f>D18</f>
        <v>128.3503595328684</v>
      </c>
      <c r="S42" s="9">
        <f ca="1">D35</f>
        <v>1208.4027796963721</v>
      </c>
      <c r="T42" s="9">
        <f>D36</f>
        <v>112.04951352219057</v>
      </c>
    </row>
    <row r="43" spans="1:20" x14ac:dyDescent="0.55000000000000004">
      <c r="A43" t="s">
        <v>28</v>
      </c>
      <c r="B43" t="s">
        <v>58</v>
      </c>
      <c r="D43" s="10">
        <f ca="1">D6+D42</f>
        <v>1166.7398796718799</v>
      </c>
      <c r="J43" t="s">
        <v>65</v>
      </c>
      <c r="K43">
        <v>2</v>
      </c>
      <c r="L43" s="9">
        <f ca="1">D43</f>
        <v>1166.7398796718799</v>
      </c>
      <c r="M43" s="9">
        <f ca="1">D46</f>
        <v>1209.7856468292393</v>
      </c>
      <c r="N43" s="9">
        <f>D49</f>
        <v>682.89149981872242</v>
      </c>
      <c r="O43" s="9">
        <f ca="1">D51</f>
        <v>1159.2626842597249</v>
      </c>
      <c r="P43">
        <f>D52</f>
        <v>311.41868512110733</v>
      </c>
      <c r="Q43" s="9">
        <f ca="1">D54</f>
        <v>1174.2142856512778</v>
      </c>
      <c r="R43">
        <f>D55</f>
        <v>128.3503595328684</v>
      </c>
      <c r="S43" s="9">
        <f ca="1">D72</f>
        <v>1161.7662461111263</v>
      </c>
      <c r="T43" s="9">
        <f>D73</f>
        <v>108.04345031422456</v>
      </c>
    </row>
    <row r="44" spans="1:20" x14ac:dyDescent="0.55000000000000004">
      <c r="J44" t="s">
        <v>66</v>
      </c>
      <c r="K44">
        <v>3</v>
      </c>
      <c r="L44" s="9">
        <f ca="1">D80</f>
        <v>1141.8544530060858</v>
      </c>
      <c r="M44" s="9">
        <f ca="1">D83</f>
        <v>1163.1491132439935</v>
      </c>
      <c r="N44" s="9">
        <f>D86</f>
        <v>678.88543661075641</v>
      </c>
      <c r="O44" s="9">
        <f ca="1">D88</f>
        <v>1117.1927789658389</v>
      </c>
      <c r="P44">
        <f>D89</f>
        <v>311.41868512110733</v>
      </c>
      <c r="Q44" s="9">
        <f ca="1">D91</f>
        <v>1152.497216758469</v>
      </c>
      <c r="R44">
        <f>D92</f>
        <v>128.3503595328684</v>
      </c>
      <c r="S44" s="9">
        <f ca="1">D109</f>
        <v>1119.4906102468346</v>
      </c>
      <c r="T44" s="9">
        <f>D110</f>
        <v>107.94267336370162</v>
      </c>
    </row>
    <row r="45" spans="1:20" x14ac:dyDescent="0.55000000000000004">
      <c r="B45" t="s">
        <v>61</v>
      </c>
      <c r="D45">
        <f>$D$8</f>
        <v>1.3828671328671327</v>
      </c>
      <c r="J45" t="s">
        <v>67</v>
      </c>
      <c r="K45">
        <v>4</v>
      </c>
      <c r="L45" s="9">
        <f ca="1">D117</f>
        <v>1141.2074694846556</v>
      </c>
      <c r="M45" s="9">
        <f ca="1">D120</f>
        <v>1120.8734773797019</v>
      </c>
      <c r="N45" s="9">
        <f>D123</f>
        <v>678.7846596602335</v>
      </c>
      <c r="O45" s="9">
        <f ca="1">D125</f>
        <v>1179.5031334224377</v>
      </c>
      <c r="P45">
        <f>D126</f>
        <v>311.41868512110733</v>
      </c>
      <c r="Q45" s="9">
        <f ca="1">D128</f>
        <v>1142.4801924695778</v>
      </c>
      <c r="R45">
        <f>D129</f>
        <v>128.3503595328684</v>
      </c>
      <c r="S45" s="9">
        <f ca="1">D146</f>
        <v>1176.5709676279448</v>
      </c>
      <c r="T45" s="9">
        <f>D147</f>
        <v>107.94012530875361</v>
      </c>
    </row>
    <row r="46" spans="1:20" x14ac:dyDescent="0.55000000000000004">
      <c r="B46" t="s">
        <v>59</v>
      </c>
      <c r="D46" s="10">
        <f ca="1">D39+D45</f>
        <v>1209.7856468292393</v>
      </c>
      <c r="J46" t="s">
        <v>68</v>
      </c>
      <c r="K46">
        <v>5</v>
      </c>
      <c r="L46" s="9">
        <f ca="1">D154</f>
        <v>1141.2344681149682</v>
      </c>
      <c r="M46" s="9">
        <f ca="1">D157</f>
        <v>1177.953834760812</v>
      </c>
      <c r="N46" s="9">
        <f>D160</f>
        <v>678.78211160528554</v>
      </c>
      <c r="O46" s="9">
        <f ca="1">D162</f>
        <v>1140.507090998605</v>
      </c>
      <c r="P46">
        <f>D163</f>
        <v>311.41868512110733</v>
      </c>
      <c r="Q46" s="9">
        <f ca="1">D165</f>
        <v>1157.4852094578016</v>
      </c>
      <c r="R46">
        <f>D166</f>
        <v>128.3503595328684</v>
      </c>
      <c r="S46" s="9">
        <f ca="1">D183</f>
        <v>1142.3798751450986</v>
      </c>
      <c r="T46" s="9">
        <f>D184</f>
        <v>107.94006087521865</v>
      </c>
    </row>
    <row r="47" spans="1:20" x14ac:dyDescent="0.55000000000000004">
      <c r="J47" t="s">
        <v>69</v>
      </c>
      <c r="K47">
        <v>6</v>
      </c>
      <c r="L47" s="9">
        <f ca="1">D191</f>
        <v>1165.12090395942</v>
      </c>
      <c r="M47" s="9">
        <f ca="1">D194</f>
        <v>1143.7627422779658</v>
      </c>
      <c r="N47" s="9">
        <f>D197</f>
        <v>678.78204717175049</v>
      </c>
      <c r="O47" s="9">
        <f ca="1">D199</f>
        <v>1167.543437919006</v>
      </c>
      <c r="P47">
        <f>D200</f>
        <v>311.41868512110733</v>
      </c>
      <c r="Q47" s="9">
        <f ca="1">D202</f>
        <v>1162.8039972018216</v>
      </c>
      <c r="R47">
        <f>D203</f>
        <v>128.3503595328684</v>
      </c>
      <c r="S47" s="9">
        <f ca="1">D220</f>
        <v>1166.3541191220156</v>
      </c>
      <c r="T47" s="9">
        <f>D221</f>
        <v>107.94005924586058</v>
      </c>
    </row>
    <row r="48" spans="1:20" x14ac:dyDescent="0.55000000000000004">
      <c r="A48" t="s">
        <v>6</v>
      </c>
      <c r="B48" t="s">
        <v>7</v>
      </c>
      <c r="C48" t="s">
        <v>8</v>
      </c>
      <c r="D48">
        <f>$D$11</f>
        <v>570.8419862965319</v>
      </c>
      <c r="J48" t="s">
        <v>125</v>
      </c>
      <c r="L48" s="9">
        <f ca="1">D229</f>
        <v>1176.5644156034834</v>
      </c>
      <c r="M48" s="9">
        <f ca="1">D232</f>
        <v>1169.1198533877498</v>
      </c>
      <c r="S48" s="9">
        <f ca="1">D237</f>
        <v>1169.1198533877498</v>
      </c>
    </row>
    <row r="49" spans="1:19" x14ac:dyDescent="0.55000000000000004">
      <c r="A49" t="s">
        <v>9</v>
      </c>
      <c r="B49" t="s">
        <v>10</v>
      </c>
      <c r="D49" s="11">
        <f>D40+D48</f>
        <v>682.89149981872242</v>
      </c>
      <c r="J49" t="s">
        <v>126</v>
      </c>
      <c r="L49" s="9">
        <f ca="1">D243</f>
        <v>1221.0948046167309</v>
      </c>
      <c r="M49" s="9">
        <f ca="1">D246</f>
        <v>1171.885587653484</v>
      </c>
      <c r="S49" s="9">
        <f ca="1">D251</f>
        <v>1171.885587653484</v>
      </c>
    </row>
    <row r="50" spans="1:19" x14ac:dyDescent="0.55000000000000004">
      <c r="D50" s="2"/>
    </row>
    <row r="51" spans="1:19" x14ac:dyDescent="0.55000000000000004">
      <c r="A51" t="s">
        <v>35</v>
      </c>
      <c r="B51" t="s">
        <v>13</v>
      </c>
      <c r="D51" s="3">
        <f ca="1">NORMINV(RAND(), D43, SQRT(D52))</f>
        <v>1159.2626842597249</v>
      </c>
    </row>
    <row r="52" spans="1:19" x14ac:dyDescent="0.55000000000000004">
      <c r="A52" t="s">
        <v>2</v>
      </c>
      <c r="B52" t="s">
        <v>14</v>
      </c>
      <c r="C52" t="s">
        <v>15</v>
      </c>
      <c r="D52">
        <f>$D$15</f>
        <v>311.41868512110733</v>
      </c>
    </row>
    <row r="54" spans="1:19" x14ac:dyDescent="0.55000000000000004">
      <c r="A54" t="s">
        <v>35</v>
      </c>
      <c r="B54" t="s">
        <v>16</v>
      </c>
      <c r="D54" s="3">
        <f ca="1">NORMINV(RAND(), D43, SQRT(D55))</f>
        <v>1174.2142856512778</v>
      </c>
    </row>
    <row r="55" spans="1:19" x14ac:dyDescent="0.55000000000000004">
      <c r="B55" t="s">
        <v>17</v>
      </c>
      <c r="C55" t="s">
        <v>84</v>
      </c>
      <c r="D55">
        <f>$D$18</f>
        <v>128.3503595328684</v>
      </c>
    </row>
    <row r="57" spans="1:19" x14ac:dyDescent="0.55000000000000004">
      <c r="B57" t="s">
        <v>54</v>
      </c>
      <c r="C57" s="4" t="s">
        <v>19</v>
      </c>
      <c r="D57" s="5" t="s">
        <v>18</v>
      </c>
    </row>
    <row r="58" spans="1:19" x14ac:dyDescent="0.55000000000000004">
      <c r="C58" t="s">
        <v>20</v>
      </c>
      <c r="D58" s="1" t="s">
        <v>1</v>
      </c>
    </row>
    <row r="60" spans="1:19" x14ac:dyDescent="0.55000000000000004">
      <c r="B60" t="s">
        <v>54</v>
      </c>
      <c r="C60" s="6">
        <f>(D40+D48)/SUM(D40,D48,D52)</f>
        <v>0.68679926059496954</v>
      </c>
      <c r="D60" t="s">
        <v>21</v>
      </c>
    </row>
    <row r="61" spans="1:19" x14ac:dyDescent="0.55000000000000004">
      <c r="C61" s="6">
        <f>1-C60</f>
        <v>0.31320073940503046</v>
      </c>
      <c r="D61" t="s">
        <v>11</v>
      </c>
    </row>
    <row r="63" spans="1:19" x14ac:dyDescent="0.55000000000000004">
      <c r="B63" t="s">
        <v>55</v>
      </c>
      <c r="D63" s="7">
        <f ca="1">(C60*D51+C61*D46)</f>
        <v>1175.0865134934295</v>
      </c>
    </row>
    <row r="64" spans="1:19" x14ac:dyDescent="0.55000000000000004">
      <c r="A64" t="s">
        <v>36</v>
      </c>
      <c r="B64" t="s">
        <v>22</v>
      </c>
      <c r="D64" s="7">
        <f>(D49*D52)/SUM(D49,D52)</f>
        <v>213.88212267663417</v>
      </c>
    </row>
    <row r="66" spans="1:4" x14ac:dyDescent="0.55000000000000004">
      <c r="B66" t="s">
        <v>56</v>
      </c>
      <c r="C66" s="4" t="s">
        <v>26</v>
      </c>
      <c r="D66" s="5" t="s">
        <v>25</v>
      </c>
    </row>
    <row r="67" spans="1:4" x14ac:dyDescent="0.55000000000000004">
      <c r="C67" t="s">
        <v>27</v>
      </c>
      <c r="D67" s="1" t="s">
        <v>1</v>
      </c>
    </row>
    <row r="69" spans="1:4" x14ac:dyDescent="0.55000000000000004">
      <c r="B69" t="s">
        <v>56</v>
      </c>
      <c r="C69" s="6">
        <f>D49/(D49+D55)</f>
        <v>0.8417853343570606</v>
      </c>
      <c r="D69" t="s">
        <v>24</v>
      </c>
    </row>
    <row r="70" spans="1:4" x14ac:dyDescent="0.55000000000000004">
      <c r="C70" s="6">
        <f>1-C69</f>
        <v>0.1582146656429394</v>
      </c>
      <c r="D70" t="s">
        <v>11</v>
      </c>
    </row>
    <row r="72" spans="1:4" x14ac:dyDescent="0.55000000000000004">
      <c r="B72" t="s">
        <v>57</v>
      </c>
      <c r="D72" s="7">
        <f ca="1">(C69*D51+C70*D63)</f>
        <v>1161.7662461111263</v>
      </c>
    </row>
    <row r="73" spans="1:4" x14ac:dyDescent="0.55000000000000004">
      <c r="A73" t="s">
        <v>36</v>
      </c>
      <c r="B73" t="s">
        <v>23</v>
      </c>
      <c r="D73" s="7">
        <f>(D49*D55)/SUM(D49,D55)</f>
        <v>108.04345031422456</v>
      </c>
    </row>
    <row r="74" spans="1:4" x14ac:dyDescent="0.55000000000000004">
      <c r="C74" s="8"/>
      <c r="D74" s="8"/>
    </row>
    <row r="75" spans="1:4" x14ac:dyDescent="0.55000000000000004">
      <c r="A75" t="s">
        <v>12</v>
      </c>
    </row>
    <row r="76" spans="1:4" x14ac:dyDescent="0.55000000000000004">
      <c r="A76" t="s">
        <v>36</v>
      </c>
      <c r="B76" t="s">
        <v>52</v>
      </c>
      <c r="C76" t="s">
        <v>0</v>
      </c>
      <c r="D76" s="7">
        <f ca="1">D72</f>
        <v>1161.7662461111263</v>
      </c>
    </row>
    <row r="77" spans="1:4" x14ac:dyDescent="0.55000000000000004">
      <c r="B77" t="s">
        <v>53</v>
      </c>
      <c r="C77" t="s">
        <v>4</v>
      </c>
      <c r="D77" s="7">
        <f>(D49*D55)/SUM(D49,D55)</f>
        <v>108.04345031422456</v>
      </c>
    </row>
    <row r="79" spans="1:4" x14ac:dyDescent="0.55000000000000004">
      <c r="A79" t="s">
        <v>37</v>
      </c>
      <c r="B79" t="s">
        <v>60</v>
      </c>
      <c r="D79" s="9">
        <f ca="1">_xlfn.NORM.INV(RAND(), 'Worcester City Population Data'!$M$2/12, SQRT('Worcester City Population Data'!$O$2/12))</f>
        <v>-24.885426665794057</v>
      </c>
    </row>
    <row r="80" spans="1:4" x14ac:dyDescent="0.55000000000000004">
      <c r="A80" t="s">
        <v>29</v>
      </c>
      <c r="B80" t="s">
        <v>58</v>
      </c>
      <c r="D80" s="10">
        <f ca="1">D43+D79</f>
        <v>1141.8544530060858</v>
      </c>
    </row>
    <row r="82" spans="1:4" x14ac:dyDescent="0.55000000000000004">
      <c r="B82" t="s">
        <v>61</v>
      </c>
      <c r="D82">
        <f>$D$8</f>
        <v>1.3828671328671327</v>
      </c>
    </row>
    <row r="83" spans="1:4" x14ac:dyDescent="0.55000000000000004">
      <c r="B83" t="s">
        <v>59</v>
      </c>
      <c r="D83" s="10">
        <f ca="1">D76+D82</f>
        <v>1163.1491132439935</v>
      </c>
    </row>
    <row r="85" spans="1:4" x14ac:dyDescent="0.55000000000000004">
      <c r="A85" t="s">
        <v>6</v>
      </c>
      <c r="B85" t="s">
        <v>7</v>
      </c>
      <c r="C85" t="s">
        <v>8</v>
      </c>
      <c r="D85" s="9">
        <f>$D$11</f>
        <v>570.8419862965319</v>
      </c>
    </row>
    <row r="86" spans="1:4" x14ac:dyDescent="0.55000000000000004">
      <c r="A86" t="s">
        <v>9</v>
      </c>
      <c r="B86" t="s">
        <v>10</v>
      </c>
      <c r="D86" s="11">
        <f>D77+D85</f>
        <v>678.88543661075641</v>
      </c>
    </row>
    <row r="87" spans="1:4" x14ac:dyDescent="0.55000000000000004">
      <c r="D87" s="2"/>
    </row>
    <row r="88" spans="1:4" x14ac:dyDescent="0.55000000000000004">
      <c r="A88" t="s">
        <v>38</v>
      </c>
      <c r="B88" t="s">
        <v>13</v>
      </c>
      <c r="D88" s="3">
        <f ca="1">NORMINV(RAND(), D80, SQRT(D89))</f>
        <v>1117.1927789658389</v>
      </c>
    </row>
    <row r="89" spans="1:4" x14ac:dyDescent="0.55000000000000004">
      <c r="A89" t="s">
        <v>2</v>
      </c>
      <c r="B89" t="s">
        <v>14</v>
      </c>
      <c r="C89" t="s">
        <v>15</v>
      </c>
      <c r="D89">
        <f>$D$15</f>
        <v>311.41868512110733</v>
      </c>
    </row>
    <row r="91" spans="1:4" x14ac:dyDescent="0.55000000000000004">
      <c r="A91" t="s">
        <v>38</v>
      </c>
      <c r="B91" t="s">
        <v>16</v>
      </c>
      <c r="D91" s="3">
        <f ca="1">NORMINV(RAND(), D80, SQRT(D92))</f>
        <v>1152.497216758469</v>
      </c>
    </row>
    <row r="92" spans="1:4" x14ac:dyDescent="0.55000000000000004">
      <c r="B92" t="s">
        <v>17</v>
      </c>
      <c r="C92" t="s">
        <v>84</v>
      </c>
      <c r="D92">
        <f>$D$18</f>
        <v>128.3503595328684</v>
      </c>
    </row>
    <row r="94" spans="1:4" x14ac:dyDescent="0.55000000000000004">
      <c r="B94" t="s">
        <v>54</v>
      </c>
      <c r="C94" s="4" t="s">
        <v>19</v>
      </c>
      <c r="D94" s="5" t="s">
        <v>18</v>
      </c>
    </row>
    <row r="95" spans="1:4" x14ac:dyDescent="0.55000000000000004">
      <c r="C95" t="s">
        <v>20</v>
      </c>
      <c r="D95" s="1" t="s">
        <v>1</v>
      </c>
    </row>
    <row r="97" spans="1:4" x14ac:dyDescent="0.55000000000000004">
      <c r="B97" t="s">
        <v>54</v>
      </c>
      <c r="C97" s="6">
        <f>(D77+D85)/SUM(D77,D85,D89)</f>
        <v>0.68553227408920403</v>
      </c>
      <c r="D97" t="s">
        <v>21</v>
      </c>
    </row>
    <row r="98" spans="1:4" x14ac:dyDescent="0.55000000000000004">
      <c r="C98" s="6">
        <f>1-C97</f>
        <v>0.31446772591079597</v>
      </c>
      <c r="D98" t="s">
        <v>11</v>
      </c>
    </row>
    <row r="100" spans="1:4" x14ac:dyDescent="0.55000000000000004">
      <c r="B100" t="s">
        <v>55</v>
      </c>
      <c r="D100" s="7">
        <f ca="1">(C97*D88+C98*D83)</f>
        <v>1131.6445628974866</v>
      </c>
    </row>
    <row r="101" spans="1:4" x14ac:dyDescent="0.55000000000000004">
      <c r="A101" t="s">
        <v>39</v>
      </c>
      <c r="B101" t="s">
        <v>22</v>
      </c>
      <c r="D101" s="7">
        <f>(D86*D89)/SUM(D86,D89)</f>
        <v>213.48755940494246</v>
      </c>
    </row>
    <row r="103" spans="1:4" x14ac:dyDescent="0.55000000000000004">
      <c r="B103" t="s">
        <v>56</v>
      </c>
      <c r="C103" s="4" t="s">
        <v>26</v>
      </c>
      <c r="D103" s="5" t="s">
        <v>25</v>
      </c>
    </row>
    <row r="104" spans="1:4" x14ac:dyDescent="0.55000000000000004">
      <c r="C104" t="s">
        <v>27</v>
      </c>
      <c r="D104" s="1" t="s">
        <v>1</v>
      </c>
    </row>
    <row r="106" spans="1:4" x14ac:dyDescent="0.55000000000000004">
      <c r="B106" t="s">
        <v>56</v>
      </c>
      <c r="C106" s="6">
        <f>D86/(D86+D92)</f>
        <v>0.84100016358784946</v>
      </c>
      <c r="D106" t="s">
        <v>24</v>
      </c>
    </row>
    <row r="107" spans="1:4" x14ac:dyDescent="0.55000000000000004">
      <c r="C107" s="6">
        <f>1-C106</f>
        <v>0.15899983641215054</v>
      </c>
      <c r="D107" t="s">
        <v>11</v>
      </c>
    </row>
    <row r="109" spans="1:4" x14ac:dyDescent="0.55000000000000004">
      <c r="B109" t="s">
        <v>57</v>
      </c>
      <c r="D109" s="7">
        <f ca="1">(C106*D88+C107*D100)</f>
        <v>1119.4906102468346</v>
      </c>
    </row>
    <row r="110" spans="1:4" x14ac:dyDescent="0.55000000000000004">
      <c r="A110" t="s">
        <v>39</v>
      </c>
      <c r="B110" t="s">
        <v>23</v>
      </c>
      <c r="D110" s="7">
        <f>(D86*D92)/SUM(D86,D92)</f>
        <v>107.94267336370162</v>
      </c>
    </row>
    <row r="112" spans="1:4" x14ac:dyDescent="0.55000000000000004">
      <c r="A112" t="s">
        <v>12</v>
      </c>
    </row>
    <row r="113" spans="1:4" x14ac:dyDescent="0.55000000000000004">
      <c r="A113" t="s">
        <v>39</v>
      </c>
      <c r="B113" t="s">
        <v>52</v>
      </c>
      <c r="C113" t="s">
        <v>0</v>
      </c>
      <c r="D113" s="7">
        <f ca="1">D109</f>
        <v>1119.4906102468346</v>
      </c>
    </row>
    <row r="114" spans="1:4" x14ac:dyDescent="0.55000000000000004">
      <c r="B114" t="s">
        <v>53</v>
      </c>
      <c r="C114" t="s">
        <v>4</v>
      </c>
      <c r="D114" s="7">
        <f>(D86*D92)/SUM(D86,D92)</f>
        <v>107.94267336370162</v>
      </c>
    </row>
    <row r="116" spans="1:4" x14ac:dyDescent="0.55000000000000004">
      <c r="A116" t="s">
        <v>40</v>
      </c>
      <c r="B116" t="s">
        <v>60</v>
      </c>
      <c r="D116" s="9">
        <f ca="1">_xlfn.NORM.INV(RAND(), 'Worcester City Population Data'!$M$2/12, SQRT('Worcester City Population Data'!$O$2/12))</f>
        <v>-0.64698352143011673</v>
      </c>
    </row>
    <row r="117" spans="1:4" x14ac:dyDescent="0.55000000000000004">
      <c r="A117" t="s">
        <v>41</v>
      </c>
      <c r="B117" t="s">
        <v>58</v>
      </c>
      <c r="D117" s="10">
        <f ca="1">D80+D116</f>
        <v>1141.2074694846556</v>
      </c>
    </row>
    <row r="119" spans="1:4" x14ac:dyDescent="0.55000000000000004">
      <c r="B119" t="s">
        <v>61</v>
      </c>
      <c r="D119">
        <f>$D$8</f>
        <v>1.3828671328671327</v>
      </c>
    </row>
    <row r="120" spans="1:4" x14ac:dyDescent="0.55000000000000004">
      <c r="B120" t="s">
        <v>59</v>
      </c>
      <c r="D120" s="10">
        <f ca="1">D113+D119</f>
        <v>1120.8734773797019</v>
      </c>
    </row>
    <row r="122" spans="1:4" x14ac:dyDescent="0.55000000000000004">
      <c r="A122" t="s">
        <v>6</v>
      </c>
      <c r="B122" t="s">
        <v>7</v>
      </c>
      <c r="C122" t="s">
        <v>8</v>
      </c>
      <c r="D122" s="9">
        <f>$D$11</f>
        <v>570.8419862965319</v>
      </c>
    </row>
    <row r="123" spans="1:4" x14ac:dyDescent="0.55000000000000004">
      <c r="A123" t="s">
        <v>9</v>
      </c>
      <c r="B123" t="s">
        <v>10</v>
      </c>
      <c r="D123" s="11">
        <f>D114+D122</f>
        <v>678.7846596602335</v>
      </c>
    </row>
    <row r="124" spans="1:4" x14ac:dyDescent="0.55000000000000004">
      <c r="D124" s="2"/>
    </row>
    <row r="125" spans="1:4" x14ac:dyDescent="0.55000000000000004">
      <c r="A125" t="s">
        <v>42</v>
      </c>
      <c r="B125" t="s">
        <v>13</v>
      </c>
      <c r="D125" s="3">
        <f ca="1">NORMINV(RAND(), D117, SQRT(D126))</f>
        <v>1179.5031334224377</v>
      </c>
    </row>
    <row r="126" spans="1:4" x14ac:dyDescent="0.55000000000000004">
      <c r="A126" t="s">
        <v>2</v>
      </c>
      <c r="B126" t="s">
        <v>14</v>
      </c>
      <c r="C126" t="s">
        <v>15</v>
      </c>
      <c r="D126">
        <f>$D$15</f>
        <v>311.41868512110733</v>
      </c>
    </row>
    <row r="128" spans="1:4" x14ac:dyDescent="0.55000000000000004">
      <c r="A128" t="s">
        <v>42</v>
      </c>
      <c r="B128" t="s">
        <v>16</v>
      </c>
      <c r="D128" s="3">
        <f ca="1">NORMINV(RAND(), D117, SQRT(D129))</f>
        <v>1142.4801924695778</v>
      </c>
    </row>
    <row r="129" spans="1:4" x14ac:dyDescent="0.55000000000000004">
      <c r="B129" t="s">
        <v>17</v>
      </c>
      <c r="C129" t="s">
        <v>84</v>
      </c>
      <c r="D129">
        <f>$D$18</f>
        <v>128.3503595328684</v>
      </c>
    </row>
    <row r="131" spans="1:4" x14ac:dyDescent="0.55000000000000004">
      <c r="B131" t="s">
        <v>54</v>
      </c>
      <c r="C131" s="4" t="s">
        <v>19</v>
      </c>
      <c r="D131" s="5" t="s">
        <v>18</v>
      </c>
    </row>
    <row r="132" spans="1:4" x14ac:dyDescent="0.55000000000000004">
      <c r="C132" t="s">
        <v>20</v>
      </c>
      <c r="D132" s="1" t="s">
        <v>1</v>
      </c>
    </row>
    <row r="134" spans="1:4" x14ac:dyDescent="0.55000000000000004">
      <c r="B134" t="s">
        <v>54</v>
      </c>
      <c r="C134" s="6">
        <f>(D114+D122)/SUM(D114,D122,D126)</f>
        <v>0.6855002694523562</v>
      </c>
      <c r="D134" t="s">
        <v>21</v>
      </c>
    </row>
    <row r="135" spans="1:4" x14ac:dyDescent="0.55000000000000004">
      <c r="C135" s="6">
        <f>1-C134</f>
        <v>0.3144997305476438</v>
      </c>
      <c r="D135" t="s">
        <v>11</v>
      </c>
    </row>
    <row r="137" spans="1:4" x14ac:dyDescent="0.55000000000000004">
      <c r="B137" t="s">
        <v>55</v>
      </c>
      <c r="D137" s="7">
        <f ca="1">(C134*D125+C135*D120)</f>
        <v>1161.0641223948962</v>
      </c>
    </row>
    <row r="138" spans="1:4" x14ac:dyDescent="0.55000000000000004">
      <c r="A138" t="s">
        <v>43</v>
      </c>
      <c r="B138" t="s">
        <v>22</v>
      </c>
      <c r="D138" s="7">
        <f>(D123*D126)/SUM(D123,D126)</f>
        <v>213.47759256301754</v>
      </c>
    </row>
    <row r="140" spans="1:4" x14ac:dyDescent="0.55000000000000004">
      <c r="B140" t="s">
        <v>56</v>
      </c>
      <c r="C140" s="4" t="s">
        <v>26</v>
      </c>
      <c r="D140" s="5" t="s">
        <v>25</v>
      </c>
    </row>
    <row r="141" spans="1:4" x14ac:dyDescent="0.55000000000000004">
      <c r="C141" t="s">
        <v>27</v>
      </c>
      <c r="D141" s="1" t="s">
        <v>1</v>
      </c>
    </row>
    <row r="143" spans="1:4" x14ac:dyDescent="0.55000000000000004">
      <c r="B143" t="s">
        <v>56</v>
      </c>
      <c r="C143" s="6">
        <f>D123/(D123+D129)</f>
        <v>0.84098031124807204</v>
      </c>
      <c r="D143" t="s">
        <v>24</v>
      </c>
    </row>
    <row r="144" spans="1:4" x14ac:dyDescent="0.55000000000000004">
      <c r="C144" s="6">
        <f>1-C143</f>
        <v>0.15901968875192796</v>
      </c>
      <c r="D144" t="s">
        <v>11</v>
      </c>
    </row>
    <row r="146" spans="1:4" x14ac:dyDescent="0.55000000000000004">
      <c r="B146" t="s">
        <v>57</v>
      </c>
      <c r="D146" s="7">
        <f ca="1">(C143*D125+C144*D137)</f>
        <v>1176.5709676279448</v>
      </c>
    </row>
    <row r="147" spans="1:4" x14ac:dyDescent="0.55000000000000004">
      <c r="A147" t="s">
        <v>43</v>
      </c>
      <c r="B147" t="s">
        <v>23</v>
      </c>
      <c r="D147" s="7">
        <f>(D123*D129)/SUM(D123,D129)</f>
        <v>107.94012530875361</v>
      </c>
    </row>
    <row r="149" spans="1:4" x14ac:dyDescent="0.55000000000000004">
      <c r="A149" t="s">
        <v>12</v>
      </c>
    </row>
    <row r="150" spans="1:4" x14ac:dyDescent="0.55000000000000004">
      <c r="A150" t="s">
        <v>43</v>
      </c>
      <c r="B150" t="s">
        <v>52</v>
      </c>
      <c r="C150" t="s">
        <v>0</v>
      </c>
      <c r="D150" s="7">
        <f ca="1">D146</f>
        <v>1176.5709676279448</v>
      </c>
    </row>
    <row r="151" spans="1:4" x14ac:dyDescent="0.55000000000000004">
      <c r="B151" t="s">
        <v>53</v>
      </c>
      <c r="C151" t="s">
        <v>4</v>
      </c>
      <c r="D151" s="7">
        <f>(D123*D129)/SUM(D123,D129)</f>
        <v>107.94012530875361</v>
      </c>
    </row>
    <row r="153" spans="1:4" x14ac:dyDescent="0.55000000000000004">
      <c r="A153" t="s">
        <v>44</v>
      </c>
      <c r="B153" t="s">
        <v>60</v>
      </c>
      <c r="D153" s="9">
        <f ca="1">_xlfn.NORM.INV(RAND(), 'Worcester City Population Data'!$M$2/12, SQRT('Worcester City Population Data'!$O$2/12))</f>
        <v>2.6998630312547123E-2</v>
      </c>
    </row>
    <row r="154" spans="1:4" x14ac:dyDescent="0.55000000000000004">
      <c r="A154" t="s">
        <v>45</v>
      </c>
      <c r="B154" t="s">
        <v>58</v>
      </c>
      <c r="D154" s="10">
        <f ca="1">D117+D153</f>
        <v>1141.2344681149682</v>
      </c>
    </row>
    <row r="156" spans="1:4" x14ac:dyDescent="0.55000000000000004">
      <c r="B156" t="s">
        <v>61</v>
      </c>
      <c r="D156">
        <f>$D$8</f>
        <v>1.3828671328671327</v>
      </c>
    </row>
    <row r="157" spans="1:4" x14ac:dyDescent="0.55000000000000004">
      <c r="B157" t="s">
        <v>59</v>
      </c>
      <c r="D157" s="10">
        <f ca="1">D150+D156</f>
        <v>1177.953834760812</v>
      </c>
    </row>
    <row r="159" spans="1:4" x14ac:dyDescent="0.55000000000000004">
      <c r="A159" t="s">
        <v>6</v>
      </c>
      <c r="B159" t="s">
        <v>7</v>
      </c>
      <c r="C159" t="s">
        <v>8</v>
      </c>
      <c r="D159">
        <f>$D$11</f>
        <v>570.8419862965319</v>
      </c>
    </row>
    <row r="160" spans="1:4" x14ac:dyDescent="0.55000000000000004">
      <c r="A160" t="s">
        <v>9</v>
      </c>
      <c r="B160" t="s">
        <v>10</v>
      </c>
      <c r="D160" s="11">
        <f>D151+D159</f>
        <v>678.78211160528554</v>
      </c>
    </row>
    <row r="161" spans="1:4" x14ac:dyDescent="0.55000000000000004">
      <c r="D161" s="2"/>
    </row>
    <row r="162" spans="1:4" x14ac:dyDescent="0.55000000000000004">
      <c r="A162" t="s">
        <v>46</v>
      </c>
      <c r="B162" t="s">
        <v>13</v>
      </c>
      <c r="D162" s="3">
        <f ca="1">NORMINV(RAND(), D154, SQRT(D163))</f>
        <v>1140.507090998605</v>
      </c>
    </row>
    <row r="163" spans="1:4" x14ac:dyDescent="0.55000000000000004">
      <c r="A163" t="s">
        <v>2</v>
      </c>
      <c r="B163" t="s">
        <v>14</v>
      </c>
      <c r="C163" t="s">
        <v>15</v>
      </c>
      <c r="D163">
        <f>$D$15</f>
        <v>311.41868512110733</v>
      </c>
    </row>
    <row r="165" spans="1:4" x14ac:dyDescent="0.55000000000000004">
      <c r="A165" t="s">
        <v>46</v>
      </c>
      <c r="B165" t="s">
        <v>16</v>
      </c>
      <c r="D165" s="3">
        <f ca="1">NORMINV(RAND(), D154, SQRT(D166))</f>
        <v>1157.4852094578016</v>
      </c>
    </row>
    <row r="166" spans="1:4" x14ac:dyDescent="0.55000000000000004">
      <c r="B166" t="s">
        <v>17</v>
      </c>
      <c r="C166" t="s">
        <v>84</v>
      </c>
      <c r="D166">
        <f>$D$18</f>
        <v>128.3503595328684</v>
      </c>
    </row>
    <row r="168" spans="1:4" x14ac:dyDescent="0.55000000000000004">
      <c r="B168" t="s">
        <v>54</v>
      </c>
      <c r="C168" s="4" t="s">
        <v>19</v>
      </c>
      <c r="D168" s="5" t="s">
        <v>18</v>
      </c>
    </row>
    <row r="169" spans="1:4" x14ac:dyDescent="0.55000000000000004">
      <c r="C169" t="s">
        <v>20</v>
      </c>
      <c r="D169" s="1" t="s">
        <v>1</v>
      </c>
    </row>
    <row r="171" spans="1:4" x14ac:dyDescent="0.55000000000000004">
      <c r="B171" t="s">
        <v>54</v>
      </c>
      <c r="C171" s="6">
        <f>(D151+D159)/SUM(D151,D159,D163)</f>
        <v>0.68549946015933483</v>
      </c>
      <c r="D171" t="s">
        <v>21</v>
      </c>
    </row>
    <row r="172" spans="1:4" x14ac:dyDescent="0.55000000000000004">
      <c r="C172" s="6">
        <f>1-C171</f>
        <v>0.31450053984066517</v>
      </c>
      <c r="D172" t="s">
        <v>11</v>
      </c>
    </row>
    <row r="174" spans="1:4" x14ac:dyDescent="0.55000000000000004">
      <c r="B174" t="s">
        <v>55</v>
      </c>
      <c r="D174" s="7">
        <f ca="1">(C171*D162+C172*D157)</f>
        <v>1152.2841121270942</v>
      </c>
    </row>
    <row r="175" spans="1:4" x14ac:dyDescent="0.55000000000000004">
      <c r="A175" t="s">
        <v>47</v>
      </c>
      <c r="B175" t="s">
        <v>22</v>
      </c>
      <c r="D175" s="7">
        <f>(D160*D163)/SUM(D160,D163)</f>
        <v>213.47734053404895</v>
      </c>
    </row>
    <row r="177" spans="1:4" x14ac:dyDescent="0.55000000000000004">
      <c r="B177" t="s">
        <v>56</v>
      </c>
      <c r="C177" s="4" t="s">
        <v>26</v>
      </c>
      <c r="D177" s="5" t="s">
        <v>25</v>
      </c>
    </row>
    <row r="178" spans="1:4" x14ac:dyDescent="0.55000000000000004">
      <c r="C178" t="s">
        <v>27</v>
      </c>
      <c r="D178" s="1" t="s">
        <v>1</v>
      </c>
    </row>
    <row r="180" spans="1:4" x14ac:dyDescent="0.55000000000000004">
      <c r="B180" t="s">
        <v>56</v>
      </c>
      <c r="C180" s="6">
        <f>D160/(D160+D166)</f>
        <v>0.84097980923518167</v>
      </c>
      <c r="D180" t="s">
        <v>24</v>
      </c>
    </row>
    <row r="181" spans="1:4" x14ac:dyDescent="0.55000000000000004">
      <c r="C181" s="6">
        <f>1-C180</f>
        <v>0.15902019076481833</v>
      </c>
      <c r="D181" t="s">
        <v>11</v>
      </c>
    </row>
    <row r="183" spans="1:4" x14ac:dyDescent="0.55000000000000004">
      <c r="B183" t="s">
        <v>57</v>
      </c>
      <c r="D183" s="7">
        <f ca="1">(C180*D162+C181*D174)</f>
        <v>1142.3798751450986</v>
      </c>
    </row>
    <row r="184" spans="1:4" x14ac:dyDescent="0.55000000000000004">
      <c r="A184" t="s">
        <v>47</v>
      </c>
      <c r="B184" t="s">
        <v>23</v>
      </c>
      <c r="D184" s="7">
        <f>(D160*D166)/SUM(D160,D166)</f>
        <v>107.94006087521865</v>
      </c>
    </row>
    <row r="186" spans="1:4" x14ac:dyDescent="0.55000000000000004">
      <c r="A186" t="s">
        <v>12</v>
      </c>
    </row>
    <row r="187" spans="1:4" x14ac:dyDescent="0.55000000000000004">
      <c r="A187" t="s">
        <v>47</v>
      </c>
      <c r="B187" t="s">
        <v>52</v>
      </c>
      <c r="C187" t="s">
        <v>0</v>
      </c>
      <c r="D187" s="7">
        <f ca="1">D183</f>
        <v>1142.3798751450986</v>
      </c>
    </row>
    <row r="188" spans="1:4" x14ac:dyDescent="0.55000000000000004">
      <c r="B188" t="s">
        <v>53</v>
      </c>
      <c r="C188" t="s">
        <v>4</v>
      </c>
      <c r="D188" s="7">
        <f>(D160*D166)/SUM(D160,D166)</f>
        <v>107.94006087521865</v>
      </c>
    </row>
    <row r="190" spans="1:4" x14ac:dyDescent="0.55000000000000004">
      <c r="A190" t="s">
        <v>48</v>
      </c>
      <c r="B190" t="s">
        <v>60</v>
      </c>
      <c r="D190" s="9">
        <f ca="1">_xlfn.NORM.INV(RAND(), 'Worcester City Population Data'!$M$2/12, SQRT('Worcester City Population Data'!$O$2/12))</f>
        <v>23.886435844451821</v>
      </c>
    </row>
    <row r="191" spans="1:4" x14ac:dyDescent="0.55000000000000004">
      <c r="A191" t="s">
        <v>49</v>
      </c>
      <c r="B191" t="s">
        <v>58</v>
      </c>
      <c r="D191" s="10">
        <f ca="1">D154+D190</f>
        <v>1165.12090395942</v>
      </c>
    </row>
    <row r="193" spans="1:4" x14ac:dyDescent="0.55000000000000004">
      <c r="B193" t="s">
        <v>61</v>
      </c>
      <c r="D193">
        <f>$D$8</f>
        <v>1.3828671328671327</v>
      </c>
    </row>
    <row r="194" spans="1:4" x14ac:dyDescent="0.55000000000000004">
      <c r="B194" t="s">
        <v>59</v>
      </c>
      <c r="D194" s="10">
        <f ca="1">D187+D193</f>
        <v>1143.7627422779658</v>
      </c>
    </row>
    <row r="196" spans="1:4" x14ac:dyDescent="0.55000000000000004">
      <c r="A196" t="s">
        <v>6</v>
      </c>
      <c r="B196" t="s">
        <v>7</v>
      </c>
      <c r="C196" t="s">
        <v>8</v>
      </c>
      <c r="D196">
        <f>$D$11</f>
        <v>570.8419862965319</v>
      </c>
    </row>
    <row r="197" spans="1:4" x14ac:dyDescent="0.55000000000000004">
      <c r="A197" t="s">
        <v>9</v>
      </c>
      <c r="B197" t="s">
        <v>10</v>
      </c>
      <c r="D197" s="11">
        <f>D188+D196</f>
        <v>678.78204717175049</v>
      </c>
    </row>
    <row r="198" spans="1:4" x14ac:dyDescent="0.55000000000000004">
      <c r="D198" s="2"/>
    </row>
    <row r="199" spans="1:4" x14ac:dyDescent="0.55000000000000004">
      <c r="A199" t="s">
        <v>50</v>
      </c>
      <c r="B199" t="s">
        <v>13</v>
      </c>
      <c r="D199" s="3">
        <f ca="1">NORMINV(RAND(), D191, SQRT(D200))</f>
        <v>1167.543437919006</v>
      </c>
    </row>
    <row r="200" spans="1:4" x14ac:dyDescent="0.55000000000000004">
      <c r="A200" t="s">
        <v>2</v>
      </c>
      <c r="B200" t="s">
        <v>14</v>
      </c>
      <c r="C200" t="s">
        <v>15</v>
      </c>
      <c r="D200">
        <f>$D$15</f>
        <v>311.41868512110733</v>
      </c>
    </row>
    <row r="202" spans="1:4" x14ac:dyDescent="0.55000000000000004">
      <c r="A202" t="s">
        <v>50</v>
      </c>
      <c r="B202" t="s">
        <v>16</v>
      </c>
      <c r="D202" s="3">
        <f ca="1">NORMINV(RAND(), D191, SQRT(D203))</f>
        <v>1162.8039972018216</v>
      </c>
    </row>
    <row r="203" spans="1:4" x14ac:dyDescent="0.55000000000000004">
      <c r="B203" t="s">
        <v>17</v>
      </c>
      <c r="C203" t="s">
        <v>84</v>
      </c>
      <c r="D203">
        <f>$D$18</f>
        <v>128.3503595328684</v>
      </c>
    </row>
    <row r="205" spans="1:4" x14ac:dyDescent="0.55000000000000004">
      <c r="B205" t="s">
        <v>54</v>
      </c>
      <c r="C205" s="4" t="s">
        <v>19</v>
      </c>
      <c r="D205" s="5" t="s">
        <v>18</v>
      </c>
    </row>
    <row r="206" spans="1:4" x14ac:dyDescent="0.55000000000000004">
      <c r="C206" t="s">
        <v>20</v>
      </c>
      <c r="D206" s="1" t="s">
        <v>1</v>
      </c>
    </row>
    <row r="208" spans="1:4" x14ac:dyDescent="0.55000000000000004">
      <c r="B208" t="s">
        <v>54</v>
      </c>
      <c r="C208" s="6">
        <f>(D188+D196)/SUM(D188,D196,D200)</f>
        <v>0.68549943969441207</v>
      </c>
      <c r="D208" t="s">
        <v>21</v>
      </c>
    </row>
    <row r="209" spans="1:4" x14ac:dyDescent="0.55000000000000004">
      <c r="C209" s="6">
        <f>1-C208</f>
        <v>0.31450056030558793</v>
      </c>
      <c r="D209" t="s">
        <v>11</v>
      </c>
    </row>
    <row r="211" spans="1:4" x14ac:dyDescent="0.55000000000000004">
      <c r="B211" t="s">
        <v>55</v>
      </c>
      <c r="D211" s="7">
        <f ca="1">(C208*D199+C209*D194)</f>
        <v>1160.0643958154424</v>
      </c>
    </row>
    <row r="212" spans="1:4" x14ac:dyDescent="0.55000000000000004">
      <c r="A212" t="s">
        <v>51</v>
      </c>
      <c r="B212" t="s">
        <v>22</v>
      </c>
      <c r="D212" s="7">
        <f>(D197*D200)/SUM(D197,D200)</f>
        <v>213.4773341608896</v>
      </c>
    </row>
    <row r="214" spans="1:4" x14ac:dyDescent="0.55000000000000004">
      <c r="B214" t="s">
        <v>56</v>
      </c>
      <c r="C214" s="4" t="s">
        <v>26</v>
      </c>
      <c r="D214" s="5" t="s">
        <v>25</v>
      </c>
    </row>
    <row r="215" spans="1:4" x14ac:dyDescent="0.55000000000000004">
      <c r="C215" t="s">
        <v>27</v>
      </c>
      <c r="D215" s="1" t="s">
        <v>1</v>
      </c>
    </row>
    <row r="217" spans="1:4" x14ac:dyDescent="0.55000000000000004">
      <c r="B217" t="s">
        <v>56</v>
      </c>
      <c r="C217" s="6">
        <f>D197/(D197+D203)</f>
        <v>0.84097979654056931</v>
      </c>
      <c r="D217" t="s">
        <v>24</v>
      </c>
    </row>
    <row r="218" spans="1:4" x14ac:dyDescent="0.55000000000000004">
      <c r="C218" s="6">
        <f>1-C217</f>
        <v>0.15902020345943069</v>
      </c>
      <c r="D218" t="s">
        <v>11</v>
      </c>
    </row>
    <row r="220" spans="1:4" x14ac:dyDescent="0.55000000000000004">
      <c r="B220" t="s">
        <v>57</v>
      </c>
      <c r="D220" s="7">
        <f ca="1">(C217*D199+C218*D211)</f>
        <v>1166.3541191220156</v>
      </c>
    </row>
    <row r="221" spans="1:4" x14ac:dyDescent="0.55000000000000004">
      <c r="A221" t="s">
        <v>51</v>
      </c>
      <c r="B221" t="s">
        <v>23</v>
      </c>
      <c r="D221" s="7">
        <f>(D197*D203)/SUM(D197,D203)</f>
        <v>107.94005924586058</v>
      </c>
    </row>
    <row r="223" spans="1:4" x14ac:dyDescent="0.55000000000000004">
      <c r="A223" s="19" t="s">
        <v>6</v>
      </c>
    </row>
    <row r="224" spans="1:4" x14ac:dyDescent="0.55000000000000004">
      <c r="A224" t="s">
        <v>12</v>
      </c>
    </row>
    <row r="225" spans="1:4" x14ac:dyDescent="0.55000000000000004">
      <c r="A225" t="s">
        <v>51</v>
      </c>
      <c r="B225" t="s">
        <v>52</v>
      </c>
      <c r="C225" t="s">
        <v>0</v>
      </c>
      <c r="D225" s="7">
        <f ca="1">D220</f>
        <v>1166.3541191220156</v>
      </c>
    </row>
    <row r="226" spans="1:4" x14ac:dyDescent="0.55000000000000004">
      <c r="B226" t="s">
        <v>53</v>
      </c>
      <c r="C226" t="s">
        <v>4</v>
      </c>
      <c r="D226" s="7">
        <f>D221</f>
        <v>107.94005924586058</v>
      </c>
    </row>
    <row r="228" spans="1:4" x14ac:dyDescent="0.55000000000000004">
      <c r="A228" t="s">
        <v>94</v>
      </c>
      <c r="B228" t="s">
        <v>60</v>
      </c>
      <c r="D228" s="9">
        <f ca="1">ABS(_xlfn.NORM.INV(RAND(), 2*'Worcester City Population Data'!$M$2/12, SQRT('Worcester City Population Data'!$O$2/12)))</f>
        <v>11.443511644063342</v>
      </c>
    </row>
    <row r="229" spans="1:4" x14ac:dyDescent="0.55000000000000004">
      <c r="A229" t="s">
        <v>95</v>
      </c>
      <c r="B229" t="s">
        <v>58</v>
      </c>
      <c r="D229" s="10">
        <f ca="1">D191+D228</f>
        <v>1176.5644156034834</v>
      </c>
    </row>
    <row r="231" spans="1:4" x14ac:dyDescent="0.55000000000000004">
      <c r="B231" t="s">
        <v>61</v>
      </c>
      <c r="D231">
        <f>2*$D$8</f>
        <v>2.7657342657342654</v>
      </c>
    </row>
    <row r="232" spans="1:4" x14ac:dyDescent="0.55000000000000004">
      <c r="B232" t="s">
        <v>59</v>
      </c>
      <c r="D232" s="10">
        <f ca="1">D225+D231</f>
        <v>1169.1198533877498</v>
      </c>
    </row>
    <row r="234" spans="1:4" x14ac:dyDescent="0.55000000000000004">
      <c r="A234" t="s">
        <v>6</v>
      </c>
      <c r="B234" t="s">
        <v>7</v>
      </c>
      <c r="C234" t="s">
        <v>8</v>
      </c>
      <c r="D234" s="9">
        <f>$D$11</f>
        <v>570.8419862965319</v>
      </c>
    </row>
    <row r="235" spans="1:4" x14ac:dyDescent="0.55000000000000004">
      <c r="A235" t="s">
        <v>9</v>
      </c>
      <c r="B235" t="s">
        <v>10</v>
      </c>
      <c r="D235" s="11">
        <f>D226+D234</f>
        <v>678.78204554239244</v>
      </c>
    </row>
    <row r="236" spans="1:4" x14ac:dyDescent="0.55000000000000004">
      <c r="D236" s="2"/>
    </row>
    <row r="237" spans="1:4" x14ac:dyDescent="0.55000000000000004">
      <c r="A237" t="s">
        <v>97</v>
      </c>
      <c r="B237" t="s">
        <v>96</v>
      </c>
      <c r="D237" s="7">
        <f ca="1">D232</f>
        <v>1169.1198533877498</v>
      </c>
    </row>
    <row r="239" spans="1:4" x14ac:dyDescent="0.55000000000000004">
      <c r="A239" t="s">
        <v>12</v>
      </c>
    </row>
    <row r="240" spans="1:4" x14ac:dyDescent="0.55000000000000004">
      <c r="A240" t="s">
        <v>97</v>
      </c>
      <c r="B240" t="s">
        <v>52</v>
      </c>
      <c r="C240" t="s">
        <v>0</v>
      </c>
      <c r="D240" s="7">
        <f ca="1">D237</f>
        <v>1169.1198533877498</v>
      </c>
    </row>
    <row r="242" spans="1:4" x14ac:dyDescent="0.55000000000000004">
      <c r="A242" t="s">
        <v>98</v>
      </c>
      <c r="B242" t="s">
        <v>60</v>
      </c>
      <c r="D242" s="9">
        <f ca="1">ABS(_xlfn.NORM.INV(RAND(), 2*'Worcester City Population Data'!$M$2/12, SQRT('Worcester City Population Data'!$O$2/12)))</f>
        <v>44.530389013247429</v>
      </c>
    </row>
    <row r="243" spans="1:4" x14ac:dyDescent="0.55000000000000004">
      <c r="A243" t="s">
        <v>99</v>
      </c>
      <c r="B243" t="s">
        <v>58</v>
      </c>
      <c r="D243" s="10">
        <f ca="1">D229+D242</f>
        <v>1221.0948046167309</v>
      </c>
    </row>
    <row r="245" spans="1:4" x14ac:dyDescent="0.55000000000000004">
      <c r="B245" t="s">
        <v>61</v>
      </c>
      <c r="D245">
        <f>2*$D$8</f>
        <v>2.7657342657342654</v>
      </c>
    </row>
    <row r="246" spans="1:4" x14ac:dyDescent="0.55000000000000004">
      <c r="B246" t="s">
        <v>59</v>
      </c>
      <c r="D246" s="10">
        <f ca="1">D240+D245</f>
        <v>1171.885587653484</v>
      </c>
    </row>
    <row r="248" spans="1:4" x14ac:dyDescent="0.55000000000000004">
      <c r="A248" t="s">
        <v>6</v>
      </c>
      <c r="B248" t="s">
        <v>7</v>
      </c>
      <c r="C248" t="s">
        <v>8</v>
      </c>
      <c r="D248" s="9">
        <f>$D$11</f>
        <v>570.8419862965319</v>
      </c>
    </row>
    <row r="249" spans="1:4" x14ac:dyDescent="0.55000000000000004">
      <c r="A249" t="s">
        <v>9</v>
      </c>
      <c r="B249" t="s">
        <v>10</v>
      </c>
      <c r="D249" s="11">
        <f>D241+D248</f>
        <v>570.8419862965319</v>
      </c>
    </row>
    <row r="250" spans="1:4" x14ac:dyDescent="0.55000000000000004">
      <c r="D250" s="2"/>
    </row>
    <row r="251" spans="1:4" x14ac:dyDescent="0.55000000000000004">
      <c r="A251" t="s">
        <v>100</v>
      </c>
      <c r="B251" t="s">
        <v>96</v>
      </c>
      <c r="D251" s="7">
        <f ca="1">D246</f>
        <v>1171.885587653484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13</xdr:col>
                    <xdr:colOff>304800</xdr:colOff>
                    <xdr:row>11</xdr:row>
                    <xdr:rowOff>60960</xdr:rowOff>
                  </from>
                  <to>
                    <xdr:col>14</xdr:col>
                    <xdr:colOff>598170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C61-B243-499B-93D3-267DE10AA744}">
  <dimension ref="A2:I31"/>
  <sheetViews>
    <sheetView topLeftCell="A7" workbookViewId="0">
      <selection activeCell="G14" sqref="G14"/>
    </sheetView>
  </sheetViews>
  <sheetFormatPr defaultRowHeight="14.4" x14ac:dyDescent="0.55000000000000004"/>
  <cols>
    <col min="1" max="1" width="19.3125" customWidth="1"/>
    <col min="2" max="2" width="14.41796875" customWidth="1"/>
  </cols>
  <sheetData>
    <row r="2" spans="1:9" x14ac:dyDescent="0.55000000000000004">
      <c r="A2" t="s">
        <v>91</v>
      </c>
      <c r="B2" s="12" t="s">
        <v>86</v>
      </c>
      <c r="C2">
        <f>'Filtering+Prediction'!D3</f>
        <v>311.41868512110733</v>
      </c>
    </row>
    <row r="3" spans="1:9" x14ac:dyDescent="0.55000000000000004">
      <c r="A3" t="s">
        <v>9</v>
      </c>
      <c r="B3" s="12" t="s">
        <v>85</v>
      </c>
      <c r="C3" s="13">
        <f>'Filtering+Prediction'!D11</f>
        <v>570.8419862965319</v>
      </c>
    </row>
    <row r="4" spans="1:9" x14ac:dyDescent="0.55000000000000004">
      <c r="A4" t="s">
        <v>87</v>
      </c>
      <c r="B4" s="12" t="s">
        <v>15</v>
      </c>
      <c r="C4">
        <f>'Filtering+Prediction'!D15</f>
        <v>311.41868512110733</v>
      </c>
    </row>
    <row r="5" spans="1:9" x14ac:dyDescent="0.55000000000000004">
      <c r="A5" t="s">
        <v>88</v>
      </c>
      <c r="B5" s="12" t="s">
        <v>84</v>
      </c>
      <c r="C5">
        <f>'Filtering+Prediction'!D18</f>
        <v>128.3503595328684</v>
      </c>
    </row>
    <row r="8" spans="1:9" x14ac:dyDescent="0.55000000000000004"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</row>
    <row r="9" spans="1:9" x14ac:dyDescent="0.55000000000000004">
      <c r="A9" s="2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</row>
    <row r="11" spans="1:9" x14ac:dyDescent="0.55000000000000004">
      <c r="A11" s="2" t="s">
        <v>78</v>
      </c>
    </row>
    <row r="12" spans="1:9" x14ac:dyDescent="0.55000000000000004">
      <c r="A12" s="2" t="s">
        <v>77</v>
      </c>
      <c r="B12" s="12" t="s">
        <v>79</v>
      </c>
      <c r="D12">
        <f ca="1">'Filtering+Prediction'!D26</f>
        <v>1210.8184231991515</v>
      </c>
      <c r="E12">
        <f ca="1">'Filtering+Prediction'!D63</f>
        <v>1175.0865134934295</v>
      </c>
      <c r="F12">
        <f ca="1">'Filtering+Prediction'!D100</f>
        <v>1131.6445628974866</v>
      </c>
      <c r="G12">
        <f ca="1">'Filtering+Prediction'!D137</f>
        <v>1161.0641223948962</v>
      </c>
      <c r="H12">
        <f ca="1">'Filtering+Prediction'!D174</f>
        <v>1152.2841121270942</v>
      </c>
      <c r="I12">
        <f ca="1">'Filtering+Prediction'!D211</f>
        <v>1160.0643958154424</v>
      </c>
    </row>
    <row r="13" spans="1:9" x14ac:dyDescent="0.55000000000000004">
      <c r="B13" s="12" t="s">
        <v>80</v>
      </c>
      <c r="D13">
        <f>'Filtering+Prediction'!D27</f>
        <v>230.1727484201727</v>
      </c>
      <c r="E13">
        <f>'Filtering+Prediction'!D64</f>
        <v>213.88212267663417</v>
      </c>
      <c r="F13">
        <f>'Filtering+Prediction'!D101</f>
        <v>213.48755940494246</v>
      </c>
      <c r="G13">
        <f>'Filtering+Prediction'!D138</f>
        <v>213.47759256301754</v>
      </c>
      <c r="H13">
        <f>'Filtering+Prediction'!D175</f>
        <v>213.47734053404895</v>
      </c>
      <c r="I13">
        <f>'Filtering+Prediction'!D212</f>
        <v>213.4773341608896</v>
      </c>
    </row>
    <row r="14" spans="1:9" x14ac:dyDescent="0.55000000000000004">
      <c r="B14" s="12"/>
    </row>
    <row r="15" spans="1:9" x14ac:dyDescent="0.55000000000000004">
      <c r="B15" s="12" t="s">
        <v>81</v>
      </c>
      <c r="C15">
        <f ca="1">'Filtering+Prediction'!D2</f>
        <v>1217.2747644612568</v>
      </c>
      <c r="D15">
        <f ca="1">'Filtering+Prediction'!D35</f>
        <v>1208.4027796963721</v>
      </c>
      <c r="E15">
        <f ca="1">'Filtering+Prediction'!D72</f>
        <v>1161.7662461111263</v>
      </c>
      <c r="F15">
        <f ca="1">'Filtering+Prediction'!D109</f>
        <v>1119.4906102468346</v>
      </c>
      <c r="G15">
        <f ca="1">'Filtering+Prediction'!D146</f>
        <v>1176.5709676279448</v>
      </c>
      <c r="H15">
        <f ca="1">'Filtering+Prediction'!D183</f>
        <v>1142.3798751450986</v>
      </c>
      <c r="I15">
        <f ca="1">'Filtering+Prediction'!D220</f>
        <v>1166.3541191220156</v>
      </c>
    </row>
    <row r="16" spans="1:9" x14ac:dyDescent="0.55000000000000004">
      <c r="B16" s="12" t="s">
        <v>82</v>
      </c>
      <c r="C16">
        <f>'Filtering+Prediction'!D3</f>
        <v>311.41868512110733</v>
      </c>
      <c r="D16">
        <f>'Filtering+Prediction'!D36</f>
        <v>112.04951352219057</v>
      </c>
      <c r="E16">
        <f>'Filtering+Prediction'!D73</f>
        <v>108.04345031422456</v>
      </c>
      <c r="F16">
        <f>'Filtering+Prediction'!D110</f>
        <v>107.94267336370162</v>
      </c>
      <c r="G16">
        <f>'Filtering+Prediction'!D147</f>
        <v>107.94012530875361</v>
      </c>
      <c r="H16">
        <f>'Filtering+Prediction'!D184</f>
        <v>107.94006087521865</v>
      </c>
      <c r="I16">
        <f>'Filtering+Prediction'!D221</f>
        <v>107.94005924586058</v>
      </c>
    </row>
    <row r="18" spans="1:9" x14ac:dyDescent="0.55000000000000004">
      <c r="A18" s="2" t="s">
        <v>83</v>
      </c>
    </row>
    <row r="19" spans="1:9" x14ac:dyDescent="0.55000000000000004">
      <c r="A19" s="2" t="s">
        <v>77</v>
      </c>
      <c r="B19" s="14" t="s">
        <v>89</v>
      </c>
      <c r="D19">
        <f>D13/(D13+$C3)</f>
        <v>0.28735145365531639</v>
      </c>
      <c r="E19">
        <f t="shared" ref="E19:H19" si="0">E13/(E13+$C3)</f>
        <v>0.27255709392757799</v>
      </c>
      <c r="F19">
        <f t="shared" si="0"/>
        <v>0.2721911479364294</v>
      </c>
      <c r="G19">
        <f>G13/(G13+$C3)</f>
        <v>0.27218189921183344</v>
      </c>
      <c r="H19">
        <f t="shared" si="0"/>
        <v>0.272181665338666</v>
      </c>
      <c r="I19">
        <f>I13/(I13+$C3)</f>
        <v>0.27218165942461781</v>
      </c>
    </row>
    <row r="20" spans="1:9" x14ac:dyDescent="0.55000000000000004">
      <c r="B20" s="12" t="s">
        <v>79</v>
      </c>
      <c r="D20">
        <f ca="1">D12+D19*(D24-D12-'Worcester City Population Data'!$M$2/12)</f>
        <v>1207.833765605006</v>
      </c>
      <c r="E20">
        <f ca="1">E12+E19*(E24-E12-'Worcester City Population Data'!$M$2/12)</f>
        <v>1169.6330749350777</v>
      </c>
      <c r="F20">
        <f ca="1">F12+F19*(F24-F12-'Worcester City Population Data'!$M$2/12)</f>
        <v>1129.8135857425875</v>
      </c>
      <c r="G20">
        <f ca="1">G12+G19*(G24-G12-'Worcester City Population Data'!$M$2/12)</f>
        <v>1163.6974363888485</v>
      </c>
      <c r="H20">
        <f ca="1">H12+H19*(H24-H12-'Worcester City Population Data'!$M$2/12)</f>
        <v>1149.9753498272235</v>
      </c>
      <c r="I20">
        <f ca="1">I12+I19*(I24-I12-'Worcester City Population Data'!$M$2/12)</f>
        <v>1161.3999520713596</v>
      </c>
    </row>
    <row r="21" spans="1:9" x14ac:dyDescent="0.55000000000000004">
      <c r="B21" s="12" t="s">
        <v>80</v>
      </c>
      <c r="D21">
        <f>D13+D19*(D25-D13-$C$3)*D19</f>
        <v>172.12777299761839</v>
      </c>
      <c r="E21">
        <f t="shared" ref="E21:H21" si="1">E13+E19*(E25-E13-$C$3)*E19</f>
        <v>162.64151132178682</v>
      </c>
      <c r="F21">
        <f t="shared" si="1"/>
        <v>162.40791473128667</v>
      </c>
      <c r="G21">
        <f>G13+G19*(G25-G13-$C$3)*G19</f>
        <v>162.40201497683046</v>
      </c>
      <c r="H21">
        <f t="shared" si="1"/>
        <v>162.40367454297322</v>
      </c>
      <c r="I21">
        <f>I13+I19*(I25-I13-$C$3)*I19</f>
        <v>163.3692269357249</v>
      </c>
    </row>
    <row r="23" spans="1:9" x14ac:dyDescent="0.55000000000000004">
      <c r="B23" s="14" t="s">
        <v>90</v>
      </c>
      <c r="C23">
        <f t="shared" ref="C23:H23" si="2">C16/(C16+$C3)</f>
        <v>0.35297808823407228</v>
      </c>
      <c r="D23">
        <f t="shared" si="2"/>
        <v>0.16408099024798928</v>
      </c>
      <c r="E23">
        <f t="shared" si="2"/>
        <v>0.15914828112032695</v>
      </c>
      <c r="F23">
        <f t="shared" si="2"/>
        <v>0.15902344260068055</v>
      </c>
      <c r="G23">
        <f t="shared" si="2"/>
        <v>0.15902028569002893</v>
      </c>
      <c r="H23">
        <f t="shared" si="2"/>
        <v>0.1590202058598448</v>
      </c>
    </row>
    <row r="24" spans="1:9" x14ac:dyDescent="0.55000000000000004">
      <c r="B24" s="12" t="s">
        <v>81</v>
      </c>
      <c r="C24">
        <f ca="1">C15+C23*(D20-C15-'Worcester City Population Data'!$M$2/12)</f>
        <v>1213.4541769371162</v>
      </c>
      <c r="D24">
        <f ca="1">D15+D23*(E20-D15-'Worcester City Population Data'!$M$2/12)</f>
        <v>1201.8145059389744</v>
      </c>
      <c r="E24">
        <f ca="1">E15+E23*(F20-E15-'Worcester City Population Data'!$M$2/12)</f>
        <v>1156.4609542090382</v>
      </c>
      <c r="F24">
        <f ca="1">F15+F23*(G20-F15-'Worcester City Population Data'!$M$2/12)</f>
        <v>1126.3006236342596</v>
      </c>
      <c r="G24">
        <f ca="1">G15+G23*(H20-G15-'Worcester City Population Data'!$M$2/12)</f>
        <v>1172.1218209606313</v>
      </c>
      <c r="H24">
        <f ca="1">H15+H23*(I20-H15-'Worcester City Population Data'!$M$2/12)</f>
        <v>1145.1845478772373</v>
      </c>
      <c r="I24">
        <f ca="1">I15</f>
        <v>1166.3541191220156</v>
      </c>
    </row>
    <row r="25" spans="1:9" x14ac:dyDescent="0.55000000000000004">
      <c r="B25" s="12" t="s">
        <v>82</v>
      </c>
      <c r="C25">
        <f t="shared" ref="C25:G25" si="3">C16+C23*(D21-C16-$C$3)*C23</f>
        <v>222.94071998862256</v>
      </c>
      <c r="D25">
        <f t="shared" si="3"/>
        <v>98.04304608144686</v>
      </c>
      <c r="E25">
        <f t="shared" si="3"/>
        <v>94.962017058397677</v>
      </c>
      <c r="F25">
        <f t="shared" si="3"/>
        <v>94.884153937699779</v>
      </c>
      <c r="G25">
        <f t="shared" si="3"/>
        <v>94.882230749340835</v>
      </c>
      <c r="H25">
        <f>H16+H23*(I21-H16-$C$3)*H23</f>
        <v>94.906597390172493</v>
      </c>
      <c r="I25">
        <f>I16</f>
        <v>107.94005924586058</v>
      </c>
    </row>
    <row r="27" spans="1:9" x14ac:dyDescent="0.55000000000000004">
      <c r="B27" s="15" t="s">
        <v>92</v>
      </c>
      <c r="C27" s="16">
        <f ca="1">'Filtering+Prediction'!D2</f>
        <v>1217.2747644612568</v>
      </c>
      <c r="D27" s="17">
        <f>'Filtering+Prediction'!D6</f>
        <v>1200</v>
      </c>
      <c r="E27" s="17">
        <f ca="1">'Filtering+Prediction'!D43</f>
        <v>1166.7398796718799</v>
      </c>
      <c r="F27" s="17">
        <f ca="1">'Filtering+Prediction'!D80</f>
        <v>1141.8544530060858</v>
      </c>
      <c r="G27" s="17">
        <f ca="1">'Filtering+Prediction'!D117</f>
        <v>1141.2074694846556</v>
      </c>
      <c r="H27" s="17">
        <f ca="1">'Filtering+Prediction'!D154</f>
        <v>1141.2344681149682</v>
      </c>
      <c r="I27" s="17">
        <f ca="1">'Filtering+Prediction'!D191</f>
        <v>1165.12090395942</v>
      </c>
    </row>
    <row r="29" spans="1:9" x14ac:dyDescent="0.55000000000000004">
      <c r="B29" t="s">
        <v>113</v>
      </c>
      <c r="C29">
        <f t="shared" ref="C29:H29" ca="1" si="4">C24-C15</f>
        <v>-3.820587524140592</v>
      </c>
      <c r="D29">
        <f t="shared" ca="1" si="4"/>
        <v>-6.588273757397701</v>
      </c>
      <c r="E29">
        <f t="shared" ca="1" si="4"/>
        <v>-5.3052919020881291</v>
      </c>
      <c r="F29">
        <f t="shared" ca="1" si="4"/>
        <v>6.8100133874249877</v>
      </c>
      <c r="G29">
        <f t="shared" ca="1" si="4"/>
        <v>-4.449146667313471</v>
      </c>
      <c r="H29">
        <f t="shared" ca="1" si="4"/>
        <v>2.8046727321386697</v>
      </c>
      <c r="I29">
        <f ca="1">I24-I15</f>
        <v>0</v>
      </c>
    </row>
    <row r="30" spans="1:9" x14ac:dyDescent="0.55000000000000004">
      <c r="A30" s="2"/>
    </row>
    <row r="31" spans="1:9" x14ac:dyDescent="0.55000000000000004">
      <c r="B31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5A7E-D810-4F32-864F-CFB0A47504FB}">
  <dimension ref="A1:O48"/>
  <sheetViews>
    <sheetView workbookViewId="0">
      <selection activeCell="D6" sqref="D6"/>
    </sheetView>
  </sheetViews>
  <sheetFormatPr defaultRowHeight="14.4" x14ac:dyDescent="0.55000000000000004"/>
  <cols>
    <col min="2" max="2" width="25.15625" customWidth="1"/>
    <col min="3" max="3" width="22.20703125" customWidth="1"/>
    <col min="4" max="4" width="10.9453125" customWidth="1"/>
    <col min="5" max="5" width="13.15625" customWidth="1"/>
    <col min="6" max="6" width="13.83984375" customWidth="1"/>
    <col min="7" max="7" width="13.5234375" customWidth="1"/>
    <col min="10" max="10" width="10.9453125" customWidth="1"/>
    <col min="11" max="11" width="11.05078125" customWidth="1"/>
    <col min="12" max="12" width="13.41796875" customWidth="1"/>
    <col min="13" max="13" width="11.1015625" customWidth="1"/>
  </cols>
  <sheetData>
    <row r="1" spans="1:15" x14ac:dyDescent="0.55000000000000004">
      <c r="A1" t="s">
        <v>101</v>
      </c>
      <c r="B1" t="s">
        <v>109</v>
      </c>
      <c r="C1" t="s">
        <v>102</v>
      </c>
      <c r="D1" t="s">
        <v>104</v>
      </c>
      <c r="E1" s="21" t="s">
        <v>112</v>
      </c>
      <c r="K1" t="s">
        <v>108</v>
      </c>
      <c r="L1" t="s">
        <v>103</v>
      </c>
      <c r="M1" s="21" t="s">
        <v>105</v>
      </c>
      <c r="N1" t="s">
        <v>107</v>
      </c>
      <c r="O1" s="2" t="s">
        <v>104</v>
      </c>
    </row>
    <row r="2" spans="1:15" x14ac:dyDescent="0.55000000000000004">
      <c r="A2">
        <v>2006</v>
      </c>
      <c r="E2" s="23">
        <f>AVERAGE(D6:D14)</f>
        <v>1540.1023846991638</v>
      </c>
      <c r="K2" s="20">
        <v>843</v>
      </c>
      <c r="M2">
        <f>SLOPE(K2:K13,A2:A13)</f>
        <v>16.594405594405593</v>
      </c>
      <c r="N2" s="20">
        <f t="shared" ref="N2:N13" si="0">K2-$M$2*A2-$M$4</f>
        <v>-90.564102564105269</v>
      </c>
      <c r="O2">
        <f>_xlfn.VAR.S(N2:N13)</f>
        <v>6850.1038355583823</v>
      </c>
    </row>
    <row r="3" spans="1:15" x14ac:dyDescent="0.55000000000000004">
      <c r="A3">
        <v>2007</v>
      </c>
      <c r="E3" s="2"/>
      <c r="K3" s="20">
        <v>923</v>
      </c>
      <c r="L3" s="20">
        <f>K3-K2</f>
        <v>80</v>
      </c>
      <c r="M3" s="2" t="s">
        <v>106</v>
      </c>
      <c r="N3" s="20">
        <f t="shared" si="0"/>
        <v>-27.158508158510813</v>
      </c>
    </row>
    <row r="4" spans="1:15" x14ac:dyDescent="0.55000000000000004">
      <c r="A4">
        <v>2008</v>
      </c>
      <c r="K4" s="20">
        <v>952</v>
      </c>
      <c r="L4" s="20">
        <f t="shared" ref="L4:L13" si="1">K4-K3</f>
        <v>29</v>
      </c>
      <c r="M4">
        <f>INTERCEPT(K2:K13,A2:A13)</f>
        <v>-32354.813519813517</v>
      </c>
      <c r="N4" s="20">
        <f t="shared" si="0"/>
        <v>-14.752913752916356</v>
      </c>
    </row>
    <row r="5" spans="1:15" x14ac:dyDescent="0.55000000000000004">
      <c r="A5">
        <v>2009</v>
      </c>
      <c r="F5" t="s">
        <v>110</v>
      </c>
      <c r="G5" s="2" t="s">
        <v>105</v>
      </c>
      <c r="H5" t="s">
        <v>111</v>
      </c>
      <c r="I5" s="2" t="s">
        <v>104</v>
      </c>
      <c r="K5" s="20">
        <v>1053</v>
      </c>
      <c r="L5" s="20">
        <f t="shared" si="1"/>
        <v>101</v>
      </c>
      <c r="N5" s="20">
        <f t="shared" si="0"/>
        <v>69.6526806526781</v>
      </c>
    </row>
    <row r="6" spans="1:15" x14ac:dyDescent="0.55000000000000004">
      <c r="A6">
        <v>2010</v>
      </c>
      <c r="B6" s="20">
        <v>179994</v>
      </c>
      <c r="C6">
        <v>63</v>
      </c>
      <c r="D6">
        <f>(C6/1.645)^2</f>
        <v>1466.7270258035312</v>
      </c>
      <c r="F6">
        <f t="shared" ref="F6:F14" si="2">22.6/10000*B6</f>
        <v>406.78644000000003</v>
      </c>
      <c r="G6">
        <f>SLOPE(F6:F14,A6:A14)</f>
        <v>1.4827483333333371</v>
      </c>
      <c r="H6">
        <f>F6-$G$6*A6-$G$8</f>
        <v>4.2688888888733345E-2</v>
      </c>
      <c r="I6">
        <f>_xlfn.VAR.S(H6:H14)</f>
        <v>0.10192969525692556</v>
      </c>
      <c r="K6" s="20">
        <v>1060</v>
      </c>
      <c r="L6" s="20">
        <f t="shared" si="1"/>
        <v>7</v>
      </c>
      <c r="N6" s="20">
        <f t="shared" si="0"/>
        <v>60.058275058272557</v>
      </c>
    </row>
    <row r="7" spans="1:15" x14ac:dyDescent="0.55000000000000004">
      <c r="A7">
        <v>2011</v>
      </c>
      <c r="B7" s="20">
        <v>180519</v>
      </c>
      <c r="C7">
        <v>83</v>
      </c>
      <c r="D7">
        <f t="shared" ref="D7:D14" si="3">(C7/1.645)^2</f>
        <v>2545.8005746436188</v>
      </c>
      <c r="F7">
        <f t="shared" si="2"/>
        <v>407.97294000000005</v>
      </c>
      <c r="G7" s="2" t="s">
        <v>106</v>
      </c>
      <c r="H7">
        <f t="shared" ref="H7:H14" si="4">F7-$G$6*A7-$G$8</f>
        <v>-0.25355944444436318</v>
      </c>
      <c r="K7" s="20">
        <v>982</v>
      </c>
      <c r="L7" s="20">
        <f t="shared" si="1"/>
        <v>-78</v>
      </c>
      <c r="N7" s="20">
        <f t="shared" si="0"/>
        <v>-34.536130536132987</v>
      </c>
    </row>
    <row r="8" spans="1:15" x14ac:dyDescent="0.55000000000000004">
      <c r="A8">
        <v>2012</v>
      </c>
      <c r="B8" s="20">
        <v>181473</v>
      </c>
      <c r="C8">
        <v>112</v>
      </c>
      <c r="D8">
        <f t="shared" si="3"/>
        <v>4635.5817111815295</v>
      </c>
      <c r="E8" s="21"/>
      <c r="F8">
        <f t="shared" si="2"/>
        <v>410.12898000000007</v>
      </c>
      <c r="G8">
        <f>INTERCEPT(F6:F14,A6:A14)</f>
        <v>-2573.5803988888965</v>
      </c>
      <c r="H8">
        <f t="shared" si="4"/>
        <v>0.41973222222213735</v>
      </c>
      <c r="K8" s="20">
        <v>1144</v>
      </c>
      <c r="L8" s="20">
        <f t="shared" si="1"/>
        <v>162</v>
      </c>
      <c r="M8" s="21"/>
      <c r="N8" s="20">
        <f t="shared" si="0"/>
        <v>110.86946386946147</v>
      </c>
    </row>
    <row r="9" spans="1:15" x14ac:dyDescent="0.55000000000000004">
      <c r="A9">
        <v>2013</v>
      </c>
      <c r="B9" s="20">
        <v>181901</v>
      </c>
      <c r="C9">
        <v>49</v>
      </c>
      <c r="D9">
        <f t="shared" si="3"/>
        <v>887.27931190583968</v>
      </c>
      <c r="F9">
        <f t="shared" si="2"/>
        <v>411.09626000000003</v>
      </c>
      <c r="H9">
        <f t="shared" si="4"/>
        <v>-9.5736111111364153E-2</v>
      </c>
      <c r="K9" s="20">
        <v>1202</v>
      </c>
      <c r="L9" s="20">
        <f t="shared" si="1"/>
        <v>58</v>
      </c>
      <c r="N9" s="20">
        <f t="shared" si="0"/>
        <v>152.27505827505593</v>
      </c>
    </row>
    <row r="10" spans="1:15" x14ac:dyDescent="0.55000000000000004">
      <c r="A10">
        <v>2014</v>
      </c>
      <c r="B10" s="20">
        <v>182511</v>
      </c>
      <c r="C10">
        <v>40</v>
      </c>
      <c r="D10">
        <f t="shared" si="3"/>
        <v>591.27317744662366</v>
      </c>
      <c r="F10">
        <f t="shared" si="2"/>
        <v>412.47486000000004</v>
      </c>
      <c r="H10">
        <f t="shared" si="4"/>
        <v>-0.19988444444425113</v>
      </c>
      <c r="K10" s="20">
        <v>937</v>
      </c>
      <c r="L10" s="20">
        <f t="shared" si="1"/>
        <v>-265</v>
      </c>
      <c r="N10" s="20">
        <f t="shared" si="0"/>
        <v>-129.31934731934962</v>
      </c>
    </row>
    <row r="11" spans="1:15" x14ac:dyDescent="0.55000000000000004">
      <c r="A11">
        <v>2015</v>
      </c>
      <c r="B11" s="20">
        <v>183382</v>
      </c>
      <c r="C11">
        <v>44</v>
      </c>
      <c r="D11">
        <f t="shared" si="3"/>
        <v>715.44054471041477</v>
      </c>
      <c r="F11">
        <f t="shared" si="2"/>
        <v>414.44332000000003</v>
      </c>
      <c r="H11">
        <f t="shared" si="4"/>
        <v>0.28582722222199664</v>
      </c>
      <c r="K11" s="20">
        <v>1029</v>
      </c>
      <c r="L11" s="20">
        <f t="shared" si="1"/>
        <v>92</v>
      </c>
      <c r="N11" s="20">
        <f t="shared" si="0"/>
        <v>-53.913752913755161</v>
      </c>
    </row>
    <row r="12" spans="1:15" x14ac:dyDescent="0.55000000000000004">
      <c r="A12">
        <v>2016</v>
      </c>
      <c r="B12" s="20">
        <v>183677</v>
      </c>
      <c r="C12">
        <v>46</v>
      </c>
      <c r="D12">
        <f t="shared" si="3"/>
        <v>781.95877717315989</v>
      </c>
      <c r="F12">
        <f t="shared" si="2"/>
        <v>415.11002000000008</v>
      </c>
      <c r="H12">
        <f t="shared" si="4"/>
        <v>-0.5302211111111319</v>
      </c>
      <c r="K12" s="20">
        <v>1062</v>
      </c>
      <c r="L12" s="20">
        <f t="shared" si="1"/>
        <v>33</v>
      </c>
      <c r="N12" s="20">
        <f t="shared" si="0"/>
        <v>-37.508158508160705</v>
      </c>
    </row>
    <row r="13" spans="1:15" x14ac:dyDescent="0.55000000000000004">
      <c r="A13">
        <v>2017</v>
      </c>
      <c r="B13" s="20">
        <v>184743</v>
      </c>
      <c r="C13">
        <v>47</v>
      </c>
      <c r="D13">
        <f t="shared" si="3"/>
        <v>816.32653061224482</v>
      </c>
      <c r="F13">
        <f t="shared" si="2"/>
        <v>417.51918000000006</v>
      </c>
      <c r="H13">
        <f t="shared" si="4"/>
        <v>0.39619055555567684</v>
      </c>
      <c r="K13" s="20">
        <v>1111</v>
      </c>
      <c r="L13" s="20">
        <f t="shared" si="1"/>
        <v>49</v>
      </c>
      <c r="N13" s="20">
        <f t="shared" si="0"/>
        <v>-5.102564102566248</v>
      </c>
    </row>
    <row r="14" spans="1:15" x14ac:dyDescent="0.55000000000000004">
      <c r="A14">
        <v>2018</v>
      </c>
      <c r="B14" s="20">
        <v>185195</v>
      </c>
      <c r="C14">
        <v>62</v>
      </c>
      <c r="D14">
        <f t="shared" si="3"/>
        <v>1420.5338088155136</v>
      </c>
      <c r="F14">
        <f t="shared" si="2"/>
        <v>418.54070000000007</v>
      </c>
      <c r="H14">
        <f t="shared" si="4"/>
        <v>-6.503777777788855E-2</v>
      </c>
    </row>
    <row r="15" spans="1:15" x14ac:dyDescent="0.55000000000000004">
      <c r="F15" s="20"/>
    </row>
    <row r="35" spans="2:6" x14ac:dyDescent="0.55000000000000004">
      <c r="D35" s="21"/>
      <c r="F35" s="2"/>
    </row>
    <row r="36" spans="2:6" x14ac:dyDescent="0.55000000000000004">
      <c r="D36" s="23"/>
    </row>
    <row r="37" spans="2:6" x14ac:dyDescent="0.55000000000000004">
      <c r="D37" s="2"/>
    </row>
    <row r="40" spans="2:6" x14ac:dyDescent="0.55000000000000004">
      <c r="B40" s="20"/>
      <c r="E40" s="22"/>
    </row>
    <row r="41" spans="2:6" x14ac:dyDescent="0.55000000000000004">
      <c r="B41" s="20"/>
      <c r="C41" s="20"/>
      <c r="E41" s="22"/>
    </row>
    <row r="42" spans="2:6" x14ac:dyDescent="0.55000000000000004">
      <c r="B42" s="20"/>
      <c r="C42" s="20"/>
      <c r="D42" s="21"/>
      <c r="E42" s="22"/>
    </row>
    <row r="43" spans="2:6" x14ac:dyDescent="0.55000000000000004">
      <c r="B43" s="20"/>
      <c r="C43" s="20"/>
      <c r="E43" s="22"/>
    </row>
    <row r="44" spans="2:6" x14ac:dyDescent="0.55000000000000004">
      <c r="B44" s="20"/>
      <c r="C44" s="20"/>
      <c r="E44" s="22"/>
    </row>
    <row r="45" spans="2:6" x14ac:dyDescent="0.55000000000000004">
      <c r="B45" s="20"/>
      <c r="C45" s="20"/>
      <c r="E45" s="22"/>
    </row>
    <row r="46" spans="2:6" x14ac:dyDescent="0.55000000000000004">
      <c r="B46" s="20"/>
      <c r="C46" s="20"/>
      <c r="E46" s="22"/>
    </row>
    <row r="47" spans="2:6" x14ac:dyDescent="0.55000000000000004">
      <c r="B47" s="20"/>
      <c r="C47" s="20"/>
      <c r="E47" s="22"/>
    </row>
    <row r="48" spans="2:6" x14ac:dyDescent="0.55000000000000004">
      <c r="B48" s="20"/>
      <c r="C48" s="20"/>
      <c r="E48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Filtering+Prediction</vt:lpstr>
      <vt:lpstr>Smoothing</vt:lpstr>
      <vt:lpstr>Worcester City Population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Micek</dc:creator>
  <cp:lastModifiedBy>Chris Micek</cp:lastModifiedBy>
  <dcterms:created xsi:type="dcterms:W3CDTF">2020-03-12T20:10:50Z</dcterms:created>
  <dcterms:modified xsi:type="dcterms:W3CDTF">2020-03-31T16:32:03Z</dcterms:modified>
</cp:coreProperties>
</file>