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tes Massive Disc\Teaching\Undergraduate Courses\4th Year\Heat Transfer and Heat Exchangers\"/>
    </mc:Choice>
  </mc:AlternateContent>
  <xr:revisionPtr revIDLastSave="0" documentId="13_ncr:1_{0655937B-BDC8-4BAF-8879-AAC719931C13}" xr6:coauthVersionLast="47" xr6:coauthVersionMax="47" xr10:uidLastSave="{00000000-0000-0000-0000-000000000000}"/>
  <bookViews>
    <workbookView xWindow="-120" yWindow="-120" windowWidth="24240" windowHeight="13140" activeTab="16" xr2:uid="{0389DA9A-517F-4343-A8C1-99F14987847A}"/>
  </bookViews>
  <sheets>
    <sheet name="B3" sheetId="17" r:id="rId1"/>
    <sheet name="B31" sheetId="18" r:id="rId2"/>
    <sheet name="C11" sheetId="13" r:id="rId3"/>
    <sheet name="C12" sheetId="11" r:id="rId4"/>
    <sheet name="C12a" sheetId="14" r:id="rId5"/>
    <sheet name="C14" sheetId="12" r:id="rId6"/>
    <sheet name="C41" sheetId="2" r:id="rId7"/>
    <sheet name="C53" sheetId="19" r:id="rId8"/>
    <sheet name="C53a" sheetId="8" r:id="rId9"/>
    <sheet name="C61" sheetId="9" r:id="rId10"/>
    <sheet name="C62" sheetId="10" r:id="rId11"/>
    <sheet name="C77" sheetId="3" r:id="rId12"/>
    <sheet name="C78" sheetId="16" r:id="rId13"/>
    <sheet name="C80" sheetId="4" r:id="rId14"/>
    <sheet name="C86" sheetId="15" r:id="rId15"/>
    <sheet name="C91" sheetId="7" r:id="rId16"/>
    <sheet name="C95" sheetId="1" r:id="rId17"/>
  </sheets>
  <definedNames>
    <definedName name="A">'C12'!$H$13</definedName>
    <definedName name="AA">'C12'!$H$13</definedName>
    <definedName name="B">'C61'!$H$2</definedName>
    <definedName name="BB">'C12'!$I$13</definedName>
    <definedName name="LL">'B31'!$F$22</definedName>
    <definedName name="pi">'C91'!$D$3</definedName>
    <definedName name="rrr">'B31'!$F$10</definedName>
    <definedName name="X">'C12'!$J$13</definedName>
    <definedName name="Y">'C12'!$K$13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E7" i="8"/>
  <c r="G7" i="8" s="1"/>
  <c r="M25" i="3"/>
  <c r="E6" i="3"/>
  <c r="C4" i="3" s="1"/>
  <c r="C5" i="3"/>
  <c r="F8" i="1"/>
  <c r="F7" i="1"/>
  <c r="F6" i="1"/>
  <c r="H6" i="1" s="1"/>
  <c r="E13" i="1" s="1"/>
  <c r="G10" i="19"/>
  <c r="I10" i="19" s="1"/>
  <c r="D6" i="4"/>
  <c r="I9" i="18"/>
  <c r="E9" i="18"/>
  <c r="S9" i="18" s="1"/>
  <c r="F9" i="18"/>
  <c r="G9" i="18" s="1"/>
  <c r="O9" i="18" s="1"/>
  <c r="I7" i="8" l="1"/>
  <c r="H7" i="8"/>
  <c r="J10" i="19"/>
  <c r="H10" i="19"/>
  <c r="F14" i="19" s="1"/>
  <c r="H14" i="19" s="1"/>
  <c r="F29" i="19" s="1"/>
  <c r="J14" i="19"/>
  <c r="L14" i="19" s="1"/>
  <c r="M10" i="19"/>
  <c r="D14" i="19" s="1"/>
  <c r="F19" i="19"/>
  <c r="G14" i="19"/>
  <c r="I14" i="19" s="1"/>
  <c r="N10" i="19"/>
  <c r="E14" i="19" s="1"/>
  <c r="K14" i="19"/>
  <c r="M14" i="19" s="1"/>
  <c r="L10" i="19"/>
  <c r="E19" i="19" s="1"/>
  <c r="K10" i="19"/>
  <c r="T9" i="18"/>
  <c r="V9" i="18" s="1"/>
  <c r="W9" i="18" s="1"/>
  <c r="U9" i="18"/>
  <c r="H9" i="18"/>
  <c r="P9" i="18" s="1"/>
  <c r="Q9" i="18" s="1"/>
  <c r="L9" i="18"/>
  <c r="J9" i="18"/>
  <c r="K9" i="18" s="1"/>
  <c r="D29" i="19" l="1"/>
  <c r="E29" i="19"/>
  <c r="G29" i="19" s="1"/>
  <c r="H29" i="19" s="1"/>
  <c r="J29" i="19" s="1"/>
  <c r="F34" i="19"/>
  <c r="E34" i="19"/>
  <c r="D34" i="19"/>
  <c r="D24" i="19"/>
  <c r="O10" i="19"/>
  <c r="D19" i="19"/>
  <c r="M9" i="18"/>
  <c r="N9" i="18"/>
  <c r="R9" i="18" s="1"/>
  <c r="X9" i="18" s="1"/>
  <c r="G34" i="19" l="1"/>
  <c r="H34" i="19" s="1"/>
  <c r="J34" i="19" s="1"/>
  <c r="N14" i="19"/>
  <c r="E24" i="19" s="1"/>
  <c r="G19" i="19"/>
  <c r="H19" i="19" s="1"/>
  <c r="J19" i="19" s="1"/>
  <c r="O14" i="19"/>
  <c r="F24" i="19" s="1"/>
  <c r="F6" i="17"/>
  <c r="E6" i="17"/>
  <c r="F5" i="15"/>
  <c r="N5" i="15" s="1"/>
  <c r="E5" i="15"/>
  <c r="J5" i="15" s="1"/>
  <c r="O5" i="15" s="1"/>
  <c r="E5" i="16"/>
  <c r="G5" i="16" s="1"/>
  <c r="F3" i="14"/>
  <c r="D3" i="14"/>
  <c r="G3" i="14" s="1"/>
  <c r="I5" i="13"/>
  <c r="Z5" i="13" s="1"/>
  <c r="H5" i="13"/>
  <c r="E10" i="12"/>
  <c r="L10" i="12" s="1"/>
  <c r="N10" i="12" s="1"/>
  <c r="D10" i="12"/>
  <c r="K10" i="12" s="1"/>
  <c r="M10" i="12" s="1"/>
  <c r="E3" i="12"/>
  <c r="H13" i="11"/>
  <c r="X13" i="11" s="1"/>
  <c r="I13" i="11"/>
  <c r="G24" i="19" l="1"/>
  <c r="H24" i="19" s="1"/>
  <c r="J24" i="19" s="1"/>
  <c r="D37" i="19" s="1"/>
  <c r="L37" i="19" s="1"/>
  <c r="G6" i="17"/>
  <c r="M6" i="17" s="1"/>
  <c r="H6" i="17"/>
  <c r="J6" i="17" s="1"/>
  <c r="L6" i="17" s="1"/>
  <c r="I5" i="15"/>
  <c r="M5" i="15"/>
  <c r="H5" i="15"/>
  <c r="G5" i="15"/>
  <c r="K5" i="15"/>
  <c r="L5" i="15"/>
  <c r="F5" i="16"/>
  <c r="H5" i="16" s="1"/>
  <c r="H10" i="12"/>
  <c r="H3" i="14"/>
  <c r="I3" i="14"/>
  <c r="J5" i="13"/>
  <c r="Y5" i="13"/>
  <c r="K5" i="13"/>
  <c r="M5" i="13" s="1"/>
  <c r="R5" i="13" s="1"/>
  <c r="S5" i="13" s="1"/>
  <c r="O5" i="13"/>
  <c r="G10" i="12"/>
  <c r="I10" i="12"/>
  <c r="J10" i="12" s="1"/>
  <c r="F10" i="12"/>
  <c r="O10" i="12"/>
  <c r="P10" i="12" s="1"/>
  <c r="R10" i="12" s="1"/>
  <c r="K13" i="11"/>
  <c r="P13" i="11" s="1"/>
  <c r="L13" i="11"/>
  <c r="J13" i="11"/>
  <c r="V7" i="10"/>
  <c r="P6" i="10"/>
  <c r="V5" i="10"/>
  <c r="U4" i="10"/>
  <c r="N2" i="10"/>
  <c r="S5" i="10"/>
  <c r="K5" i="10"/>
  <c r="N6" i="10"/>
  <c r="I5" i="10"/>
  <c r="AA12" i="9"/>
  <c r="O5" i="10"/>
  <c r="H5" i="10"/>
  <c r="G5" i="10"/>
  <c r="H2" i="9"/>
  <c r="I2" i="9" s="1"/>
  <c r="I27" i="3"/>
  <c r="I28" i="3" s="1"/>
  <c r="I26" i="3"/>
  <c r="I23" i="3"/>
  <c r="J7" i="8"/>
  <c r="K7" i="8"/>
  <c r="I7" i="7"/>
  <c r="L7" i="7" s="1"/>
  <c r="H7" i="7"/>
  <c r="D3" i="7"/>
  <c r="G5" i="4"/>
  <c r="D9" i="4" s="1"/>
  <c r="E15" i="4" s="1"/>
  <c r="G4" i="4"/>
  <c r="D11" i="4" s="1"/>
  <c r="E1" i="3"/>
  <c r="H5" i="3"/>
  <c r="G14" i="3" s="1"/>
  <c r="H4" i="3"/>
  <c r="I5" i="2"/>
  <c r="I4" i="2"/>
  <c r="H8" i="1"/>
  <c r="E14" i="1" s="1"/>
  <c r="L7" i="8" l="1"/>
  <c r="N7" i="8"/>
  <c r="O7" i="8"/>
  <c r="M7" i="8"/>
  <c r="D10" i="4"/>
  <c r="F15" i="4" s="1"/>
  <c r="G15" i="4" s="1"/>
  <c r="G19" i="4" s="1"/>
  <c r="I6" i="17"/>
  <c r="K6" i="17" s="1"/>
  <c r="O6" i="17" s="1"/>
  <c r="N6" i="17"/>
  <c r="P6" i="17" s="1"/>
  <c r="P5" i="15"/>
  <c r="Q5" i="15"/>
  <c r="J3" i="14"/>
  <c r="K3" i="14" s="1"/>
  <c r="Q5" i="13"/>
  <c r="T5" i="13" s="1"/>
  <c r="N5" i="13"/>
  <c r="P5" i="13" s="1"/>
  <c r="L5" i="13"/>
  <c r="Q10" i="12"/>
  <c r="S10" i="12"/>
  <c r="T10" i="12" s="1"/>
  <c r="U10" i="12" s="1"/>
  <c r="O13" i="11"/>
  <c r="R13" i="11"/>
  <c r="Q13" i="11"/>
  <c r="M13" i="11"/>
  <c r="N13" i="11" s="1"/>
  <c r="K7" i="7"/>
  <c r="G11" i="7" s="1"/>
  <c r="M7" i="7"/>
  <c r="L11" i="7" s="1"/>
  <c r="M11" i="7" s="1"/>
  <c r="I11" i="7"/>
  <c r="J7" i="7"/>
  <c r="F11" i="7" s="1"/>
  <c r="G15" i="7"/>
  <c r="F9" i="2"/>
  <c r="F12" i="2" s="1"/>
  <c r="J14" i="1"/>
  <c r="H9" i="3"/>
  <c r="H10" i="3"/>
  <c r="E14" i="3" s="1"/>
  <c r="F2" i="1"/>
  <c r="H7" i="1"/>
  <c r="E15" i="1" s="1"/>
  <c r="H5" i="1"/>
  <c r="F14" i="1" s="1"/>
  <c r="P7" i="8" l="1"/>
  <c r="Q7" i="8" s="1"/>
  <c r="R7" i="8"/>
  <c r="Q6" i="17"/>
  <c r="R5" i="15"/>
  <c r="R9" i="15" s="1"/>
  <c r="V5" i="13"/>
  <c r="W5" i="13" s="1"/>
  <c r="U5" i="13"/>
  <c r="S13" i="11"/>
  <c r="U13" i="11"/>
  <c r="T13" i="11"/>
  <c r="H11" i="7"/>
  <c r="J11" i="7" s="1"/>
  <c r="K11" i="7" s="1"/>
  <c r="F15" i="7" s="1"/>
  <c r="H15" i="7" s="1"/>
  <c r="N14" i="1"/>
  <c r="K14" i="1"/>
  <c r="J13" i="1"/>
  <c r="G13" i="1"/>
  <c r="H13" i="1" s="1"/>
  <c r="F13" i="1"/>
  <c r="G14" i="1"/>
  <c r="H14" i="1" s="1"/>
  <c r="G15" i="1"/>
  <c r="H15" i="1" s="1"/>
  <c r="J15" i="1"/>
  <c r="F15" i="1"/>
  <c r="H14" i="3"/>
  <c r="K14" i="3"/>
  <c r="F14" i="3"/>
  <c r="I14" i="3"/>
  <c r="E16" i="1"/>
  <c r="R11" i="15" l="1"/>
  <c r="R12" i="15"/>
  <c r="S5" i="15"/>
  <c r="X5" i="13"/>
  <c r="AA5" i="13" s="1"/>
  <c r="V13" i="11"/>
  <c r="W13" i="11"/>
  <c r="J14" i="3"/>
  <c r="L14" i="3" s="1"/>
  <c r="M14" i="3" s="1"/>
  <c r="M18" i="3" s="1"/>
  <c r="J16" i="1"/>
  <c r="F16" i="1"/>
  <c r="G16" i="1"/>
  <c r="H16" i="1" s="1"/>
  <c r="L14" i="1"/>
  <c r="M14" i="1" s="1"/>
  <c r="N15" i="1"/>
  <c r="L15" i="1"/>
  <c r="K15" i="1"/>
  <c r="I15" i="1"/>
  <c r="N13" i="1"/>
  <c r="L13" i="1"/>
  <c r="K13" i="1"/>
  <c r="I13" i="1"/>
  <c r="I14" i="1"/>
  <c r="M15" i="1" l="1"/>
  <c r="O15" i="1" s="1"/>
  <c r="P15" i="1" s="1"/>
  <c r="Q15" i="1" s="1"/>
  <c r="M13" i="1"/>
  <c r="O13" i="1" s="1"/>
  <c r="P13" i="1" s="1"/>
  <c r="Q13" i="1" s="1"/>
  <c r="O14" i="1"/>
  <c r="P14" i="1" s="1"/>
  <c r="Q14" i="1" s="1"/>
  <c r="N16" i="1"/>
  <c r="L16" i="1"/>
  <c r="K16" i="1"/>
  <c r="I16" i="1"/>
  <c r="M16" i="1" l="1"/>
  <c r="O16" i="1" s="1"/>
  <c r="P16" i="1" s="1"/>
  <c r="Q16" i="1" s="1"/>
  <c r="Q18" i="1" s="1"/>
  <c r="J23" i="1" s="1"/>
</calcChain>
</file>

<file path=xl/sharedStrings.xml><?xml version="1.0" encoding="utf-8"?>
<sst xmlns="http://schemas.openxmlformats.org/spreadsheetml/2006/main" count="310" uniqueCount="168">
  <si>
    <t>l</t>
  </si>
  <si>
    <t>ra</t>
  </si>
  <si>
    <t>rb</t>
  </si>
  <si>
    <t>x</t>
  </si>
  <si>
    <t>z</t>
  </si>
  <si>
    <t>eta</t>
  </si>
  <si>
    <t>L</t>
  </si>
  <si>
    <t>R</t>
  </si>
  <si>
    <t>X</t>
  </si>
  <si>
    <t>Z</t>
  </si>
  <si>
    <t>L+X</t>
  </si>
  <si>
    <t>L+Z</t>
  </si>
  <si>
    <t>Aeta</t>
  </si>
  <si>
    <t>Beta</t>
  </si>
  <si>
    <t>F1</t>
  </si>
  <si>
    <t>T1</t>
  </si>
  <si>
    <t>T2</t>
  </si>
  <si>
    <t>pi</t>
  </si>
  <si>
    <t>S2A</t>
  </si>
  <si>
    <t>S2B</t>
  </si>
  <si>
    <t>S2C</t>
  </si>
  <si>
    <t>T3</t>
  </si>
  <si>
    <t>F2</t>
  </si>
  <si>
    <t>Ftotal</t>
  </si>
  <si>
    <t>a</t>
  </si>
  <si>
    <t>RA</t>
  </si>
  <si>
    <t>RB</t>
  </si>
  <si>
    <t>FAtoB</t>
  </si>
  <si>
    <t>h</t>
  </si>
  <si>
    <t>H</t>
  </si>
  <si>
    <t>A=</t>
  </si>
  <si>
    <t>B=</t>
  </si>
  <si>
    <t>S1</t>
  </si>
  <si>
    <t>S2</t>
  </si>
  <si>
    <t>S3</t>
  </si>
  <si>
    <t>r1</t>
  </si>
  <si>
    <t>r2</t>
  </si>
  <si>
    <t>1-R^2-H^2</t>
  </si>
  <si>
    <t>1+R^2+H^2</t>
  </si>
  <si>
    <t>4R^2</t>
  </si>
  <si>
    <t>term1</t>
  </si>
  <si>
    <t>term2</t>
  </si>
  <si>
    <t>F12</t>
  </si>
  <si>
    <t>Fa to b</t>
  </si>
  <si>
    <t>A</t>
  </si>
  <si>
    <t>C</t>
  </si>
  <si>
    <t>Y</t>
  </si>
  <si>
    <t>1+C^2</t>
  </si>
  <si>
    <t>fact 1</t>
  </si>
  <si>
    <t>fact2</t>
  </si>
  <si>
    <t>fact3</t>
  </si>
  <si>
    <t>term3</t>
  </si>
  <si>
    <t>fact 4</t>
  </si>
  <si>
    <t>R1</t>
  </si>
  <si>
    <t>top</t>
  </si>
  <si>
    <t>bottom</t>
  </si>
  <si>
    <t>R2</t>
  </si>
  <si>
    <t>R2-R1</t>
  </si>
  <si>
    <t>R1/R2</t>
  </si>
  <si>
    <t>1+4R2^2</t>
  </si>
  <si>
    <t>R2^2-R1^2</t>
  </si>
  <si>
    <t>fact1</t>
  </si>
  <si>
    <t>arg</t>
  </si>
  <si>
    <t>fact4</t>
  </si>
  <si>
    <t>r3</t>
  </si>
  <si>
    <t>R3</t>
  </si>
  <si>
    <t>term 4</t>
  </si>
  <si>
    <t>fact 2</t>
  </si>
  <si>
    <t>Fab</t>
  </si>
  <si>
    <t>b</t>
  </si>
  <si>
    <t>B</t>
  </si>
  <si>
    <t>b1</t>
  </si>
  <si>
    <t>b2</t>
  </si>
  <si>
    <t>B1</t>
  </si>
  <si>
    <t>B2</t>
  </si>
  <si>
    <t>F1-2</t>
  </si>
  <si>
    <t>8pi</t>
  </si>
  <si>
    <t>F1to1</t>
  </si>
  <si>
    <t>c</t>
  </si>
  <si>
    <t>(X^2+4)^0.5</t>
  </si>
  <si>
    <t>(Y^2+4)^0.5</t>
  </si>
  <si>
    <t>A&lt;0.2</t>
  </si>
  <si>
    <t>A&gt;0.2</t>
  </si>
  <si>
    <t>pi=</t>
  </si>
  <si>
    <t>W</t>
  </si>
  <si>
    <t>term 1</t>
  </si>
  <si>
    <t>term 3</t>
  </si>
  <si>
    <t>H2</t>
  </si>
  <si>
    <t>W2</t>
  </si>
  <si>
    <t>1+H2</t>
  </si>
  <si>
    <t>1+W2</t>
  </si>
  <si>
    <t>1+H2+W2</t>
  </si>
  <si>
    <t>H2+W2</t>
  </si>
  <si>
    <t>term5</t>
  </si>
  <si>
    <t>f12</t>
  </si>
  <si>
    <t>w</t>
  </si>
  <si>
    <t>1+X^2</t>
  </si>
  <si>
    <t>1+Y^2</t>
  </si>
  <si>
    <t>sqrt(1+X^2)</t>
  </si>
  <si>
    <t>sqrt(1+Y^2)</t>
  </si>
  <si>
    <t>arg1</t>
  </si>
  <si>
    <t>fact 5</t>
  </si>
  <si>
    <t>Note this is approximate!!!!</t>
  </si>
  <si>
    <t>Works for all A !!!!</t>
  </si>
  <si>
    <t>alpha</t>
  </si>
  <si>
    <t>f1</t>
  </si>
  <si>
    <t>f2</t>
  </si>
  <si>
    <t>F21</t>
  </si>
  <si>
    <t>Not 100% sure about this configuration</t>
  </si>
  <si>
    <t>h1</t>
  </si>
  <si>
    <t>h2</t>
  </si>
  <si>
    <t>r</t>
  </si>
  <si>
    <t>H1</t>
  </si>
  <si>
    <t>(H1+H2)^2</t>
  </si>
  <si>
    <t>4+H1^2</t>
  </si>
  <si>
    <t>4+H2^2</t>
  </si>
  <si>
    <t>1+H2/H1</t>
  </si>
  <si>
    <t>H2/H1</t>
  </si>
  <si>
    <t>f3</t>
  </si>
  <si>
    <t>1+H</t>
  </si>
  <si>
    <t>1+H^2</t>
  </si>
  <si>
    <t>F22</t>
  </si>
  <si>
    <t>1+H1^2</t>
  </si>
  <si>
    <t>1+H2^2</t>
  </si>
  <si>
    <t>(1+A^2)^0.5</t>
  </si>
  <si>
    <t>(1+B^2)^0.5</t>
  </si>
  <si>
    <t>tan_arg1</t>
  </si>
  <si>
    <t>tan_arg2</t>
  </si>
  <si>
    <t>atan_1</t>
  </si>
  <si>
    <t>atan_2</t>
  </si>
  <si>
    <t>pre_fac1</t>
  </si>
  <si>
    <t>pre_fac2</t>
  </si>
  <si>
    <t>Fd12</t>
  </si>
  <si>
    <t>term 2</t>
  </si>
  <si>
    <t>Fact 1</t>
  </si>
  <si>
    <t>Top</t>
  </si>
  <si>
    <t>Bottom</t>
  </si>
  <si>
    <t>Fact 2</t>
  </si>
  <si>
    <t>Fact 3</t>
  </si>
  <si>
    <t>View factor</t>
  </si>
  <si>
    <t>rc</t>
  </si>
  <si>
    <t>Rc</t>
  </si>
  <si>
    <t>D</t>
  </si>
  <si>
    <t>1+D^2</t>
  </si>
  <si>
    <t>R1-Rc</t>
  </si>
  <si>
    <t>R2-Rc</t>
  </si>
  <si>
    <t>R1+Rc</t>
  </si>
  <si>
    <t>R2+Rc</t>
  </si>
  <si>
    <t>Y^2-D^2</t>
  </si>
  <si>
    <t>(R1+Rc)^2</t>
  </si>
  <si>
    <t>(R2+Rc)^2</t>
  </si>
  <si>
    <t>C^2-Y^2</t>
  </si>
  <si>
    <t>Term 1</t>
  </si>
  <si>
    <t>Term 2</t>
  </si>
  <si>
    <t>Term 3</t>
  </si>
  <si>
    <t>sub fact 1</t>
  </si>
  <si>
    <t>sub fact 2</t>
  </si>
  <si>
    <t>(R1-Rc)^2</t>
  </si>
  <si>
    <t>(R2-Rc)^2</t>
  </si>
  <si>
    <t>Fact 4</t>
  </si>
  <si>
    <t>Fact Sum</t>
  </si>
  <si>
    <t>F1 to 2</t>
  </si>
  <si>
    <t>Fb to a</t>
  </si>
  <si>
    <t>Aa</t>
  </si>
  <si>
    <t>Ab</t>
  </si>
  <si>
    <t>F1 to 7+*</t>
  </si>
  <si>
    <t>F1 to *</t>
  </si>
  <si>
    <t>F1 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</si>
</sst>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00"/>
    <numFmt numFmtId="166" formatCode="0.00000000"/>
    <numFmt numFmtId="167" formatCode="0.0000"/>
    <numFmt numFmtId="168" formatCode="0.0000000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49">
    <xf numFmtId="0" fontId="0" fillId="0" borderId="0" xfId="0"/>
    <xf numFmtId="11" fontId="0" fillId="0" borderId="0" xfId="0" applyNumberFormat="1"/>
    <xf numFmtId="0" fontId="2" fillId="0" borderId="0" xfId="0" applyFont="1"/>
    <xf numFmtId="0" fontId="3" fillId="2" borderId="0" xfId="1"/>
    <xf numFmtId="0" fontId="5" fillId="4" borderId="0" xfId="3"/>
    <xf numFmtId="0" fontId="4" fillId="3" borderId="0" xfId="2"/>
    <xf numFmtId="164" fontId="6" fillId="3" borderId="0" xfId="2" applyNumberFormat="1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3" fillId="2" borderId="0" xfId="1" applyNumberFormat="1"/>
    <xf numFmtId="165" fontId="6" fillId="3" borderId="0" xfId="2" applyNumberFormat="1" applyFont="1" applyAlignment="1">
      <alignment horizontal="center" vertical="center"/>
    </xf>
    <xf numFmtId="0" fontId="3" fillId="2" borderId="0" xfId="1" applyAlignment="1">
      <alignment horizontal="center" vertical="center"/>
    </xf>
    <xf numFmtId="166" fontId="6" fillId="3" borderId="0" xfId="2" applyNumberFormat="1" applyFont="1"/>
    <xf numFmtId="0" fontId="6" fillId="3" borderId="0" xfId="2" applyFont="1" applyAlignment="1">
      <alignment horizontal="center" vertical="center"/>
    </xf>
    <xf numFmtId="0" fontId="6" fillId="3" borderId="0" xfId="2" applyFont="1"/>
    <xf numFmtId="0" fontId="8" fillId="0" borderId="0" xfId="0" applyFont="1" applyAlignment="1">
      <alignment horizontal="center" vertical="center"/>
    </xf>
    <xf numFmtId="166" fontId="6" fillId="3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1" applyAlignment="1">
      <alignment horizontal="center"/>
    </xf>
    <xf numFmtId="0" fontId="6" fillId="3" borderId="0" xfId="2" applyFon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7" fontId="6" fillId="3" borderId="1" xfId="2" applyNumberFormat="1" applyFont="1" applyBorder="1" applyAlignment="1">
      <alignment horizontal="center"/>
    </xf>
    <xf numFmtId="166" fontId="7" fillId="2" borderId="0" xfId="1" applyNumberFormat="1" applyFont="1"/>
    <xf numFmtId="166" fontId="0" fillId="0" borderId="0" xfId="0" applyNumberFormat="1"/>
    <xf numFmtId="166" fontId="1" fillId="0" borderId="0" xfId="0" applyNumberFormat="1" applyFont="1"/>
    <xf numFmtId="0" fontId="4" fillId="0" borderId="0" xfId="2" applyFill="1"/>
    <xf numFmtId="0" fontId="5" fillId="0" borderId="0" xfId="3" applyFill="1"/>
    <xf numFmtId="0" fontId="0" fillId="5" borderId="0" xfId="0" applyFill="1" applyAlignment="1">
      <alignment horizontal="center" vertical="center"/>
    </xf>
    <xf numFmtId="166" fontId="1" fillId="5" borderId="0" xfId="0" applyNumberFormat="1" applyFont="1" applyFill="1"/>
    <xf numFmtId="166" fontId="1" fillId="5" borderId="0" xfId="0" applyNumberFormat="1" applyFont="1" applyFill="1" applyAlignment="1">
      <alignment horizontal="center" vertical="center"/>
    </xf>
    <xf numFmtId="2" fontId="5" fillId="4" borderId="0" xfId="3" applyNumberFormat="1"/>
    <xf numFmtId="168" fontId="0" fillId="0" borderId="0" xfId="0" applyNumberFormat="1"/>
    <xf numFmtId="0" fontId="8" fillId="0" borderId="0" xfId="0" applyFont="1" applyAlignment="1">
      <alignment horizontal="center" vertical="center"/>
    </xf>
    <xf numFmtId="0" fontId="5" fillId="0" borderId="0" xfId="3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/>
    <xf numFmtId="0" fontId="3" fillId="0" borderId="0" xfId="1" applyFill="1"/>
    <xf numFmtId="0" fontId="0" fillId="0" borderId="0" xfId="0" applyFill="1"/>
    <xf numFmtId="11" fontId="5" fillId="0" borderId="0" xfId="3" applyNumberFormat="1" applyFill="1"/>
    <xf numFmtId="0" fontId="0" fillId="7" borderId="0" xfId="0" applyFill="1" applyAlignment="1">
      <alignment horizontal="center" vertical="center"/>
    </xf>
    <xf numFmtId="11" fontId="0" fillId="7" borderId="0" xfId="0" applyNumberFormat="1" applyFill="1" applyAlignment="1">
      <alignment horizontal="center" vertical="center"/>
    </xf>
    <xf numFmtId="0" fontId="0" fillId="7" borderId="0" xfId="0" applyFill="1"/>
    <xf numFmtId="164" fontId="1" fillId="6" borderId="0" xfId="0" applyNumberFormat="1" applyFont="1" applyFill="1"/>
    <xf numFmtId="164" fontId="1" fillId="8" borderId="0" xfId="0" applyNumberFormat="1" applyFont="1" applyFill="1"/>
    <xf numFmtId="11" fontId="0" fillId="6" borderId="0" xfId="0" applyNumberFormat="1" applyFill="1"/>
    <xf numFmtId="168" fontId="1" fillId="9" borderId="0" xfId="0" applyNumberFormat="1" applyFont="1" applyFill="1"/>
    <xf numFmtId="11" fontId="0" fillId="7" borderId="0" xfId="0" applyNumberFormat="1" applyFill="1"/>
    <xf numFmtId="166" fontId="1" fillId="6" borderId="0" xfId="0" applyNumberFormat="1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wmf"/><Relationship Id="rId1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344239</xdr:colOff>
      <xdr:row>13</xdr:row>
      <xdr:rowOff>28575</xdr:rowOff>
    </xdr:from>
    <xdr:to>
      <xdr:col>22</xdr:col>
      <xdr:colOff>83741</xdr:colOff>
      <xdr:row>33</xdr:row>
      <xdr:rowOff>28575</xdr:rowOff>
    </xdr:to>
    <xdr:pic>
      <xdr:nvPicPr>
        <xdr:cNvPr id="2" name="Picture 1" descr="Graphical user interface,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13" t="21011" r="17867" b="33027"/>
        <a:stretch/>
      </xdr:blipFill>
      <xdr:spPr bwMode="auto">
        <a:xfrm>
          <a:off x="4001839" y="2505075"/>
          <a:ext cx="11026627" cy="3810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12</xdr:row>
      <xdr:rowOff>76199</xdr:rowOff>
    </xdr:from>
    <xdr:to>
      <xdr:col>17</xdr:col>
      <xdr:colOff>466725</xdr:colOff>
      <xdr:row>34</xdr:row>
      <xdr:rowOff>54458</xdr:rowOff>
    </xdr:to>
    <xdr:pic>
      <xdr:nvPicPr>
        <xdr:cNvPr id="2" name="Picture 1" descr="Graphical user interface, text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08" t="30734" r="30940" b="23441"/>
        <a:stretch/>
      </xdr:blipFill>
      <xdr:spPr bwMode="auto">
        <a:xfrm>
          <a:off x="1666875" y="2362199"/>
          <a:ext cx="9163050" cy="41692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24</xdr:col>
      <xdr:colOff>383900</xdr:colOff>
      <xdr:row>30</xdr:row>
      <xdr:rowOff>85725</xdr:rowOff>
    </xdr:to>
    <xdr:pic>
      <xdr:nvPicPr>
        <xdr:cNvPr id="2" name="Picture 1" descr="Graphical user interface, text&#10;&#10;Description automatically generate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297" t="30070" r="33304" b="29880"/>
        <a:stretch/>
      </xdr:blipFill>
      <xdr:spPr bwMode="auto">
        <a:xfrm>
          <a:off x="4876800" y="1524000"/>
          <a:ext cx="10137500" cy="42767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14</xdr:row>
      <xdr:rowOff>104775</xdr:rowOff>
    </xdr:from>
    <xdr:to>
      <xdr:col>16</xdr:col>
      <xdr:colOff>228600</xdr:colOff>
      <xdr:row>52</xdr:row>
      <xdr:rowOff>100299</xdr:rowOff>
    </xdr:to>
    <xdr:pic>
      <xdr:nvPicPr>
        <xdr:cNvPr id="3" name="Picture 2" descr="A picture containing diagram&#10;&#10;Description automatically generate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570" t="7617" r="32564" b="16083"/>
        <a:stretch/>
      </xdr:blipFill>
      <xdr:spPr bwMode="auto">
        <a:xfrm>
          <a:off x="409575" y="2771775"/>
          <a:ext cx="9925050" cy="7234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333375</xdr:colOff>
      <xdr:row>16</xdr:row>
      <xdr:rowOff>47625</xdr:rowOff>
    </xdr:from>
    <xdr:to>
      <xdr:col>29</xdr:col>
      <xdr:colOff>396384</xdr:colOff>
      <xdr:row>44</xdr:row>
      <xdr:rowOff>142875</xdr:rowOff>
    </xdr:to>
    <xdr:pic>
      <xdr:nvPicPr>
        <xdr:cNvPr id="4" name="Picture 3" descr="A picture containing diagram&#10;&#10;Description automatically generated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937" t="50454" r="32564" b="16083"/>
        <a:stretch/>
      </xdr:blipFill>
      <xdr:spPr bwMode="auto">
        <a:xfrm>
          <a:off x="11049000" y="3095625"/>
          <a:ext cx="8797434" cy="5429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0</xdr:rowOff>
    </xdr:from>
    <xdr:to>
      <xdr:col>29</xdr:col>
      <xdr:colOff>22861</xdr:colOff>
      <xdr:row>43</xdr:row>
      <xdr:rowOff>143798</xdr:rowOff>
    </xdr:to>
    <xdr:pic>
      <xdr:nvPicPr>
        <xdr:cNvPr id="2" name="Picture 1" descr="Graphical user interface, text&#10;&#10;Description automatically generate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022" t="11558" r="14466" b="17389"/>
        <a:stretch/>
      </xdr:blipFill>
      <xdr:spPr bwMode="auto">
        <a:xfrm>
          <a:off x="6819900" y="0"/>
          <a:ext cx="10881360" cy="841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16</xdr:row>
      <xdr:rowOff>95250</xdr:rowOff>
    </xdr:from>
    <xdr:to>
      <xdr:col>20</xdr:col>
      <xdr:colOff>1152524</xdr:colOff>
      <xdr:row>45</xdr:row>
      <xdr:rowOff>185519</xdr:rowOff>
    </xdr:to>
    <xdr:pic>
      <xdr:nvPicPr>
        <xdr:cNvPr id="3" name="Picture 2" descr="Text&#10;&#10;Description automatically generated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888" t="29808" r="34763" b="29204"/>
        <a:stretch/>
      </xdr:blipFill>
      <xdr:spPr bwMode="auto">
        <a:xfrm>
          <a:off x="838199" y="3219450"/>
          <a:ext cx="12506325" cy="561476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2</xdr:row>
      <xdr:rowOff>142874</xdr:rowOff>
    </xdr:from>
    <xdr:to>
      <xdr:col>28</xdr:col>
      <xdr:colOff>190500</xdr:colOff>
      <xdr:row>31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2704" t="18391" r="29152" b="42352"/>
        <a:stretch/>
      </xdr:blipFill>
      <xdr:spPr bwMode="auto">
        <a:xfrm>
          <a:off x="8067675" y="523874"/>
          <a:ext cx="9791700" cy="55721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66344</xdr:colOff>
      <xdr:row>14</xdr:row>
      <xdr:rowOff>151642</xdr:rowOff>
    </xdr:from>
    <xdr:to>
      <xdr:col>37</xdr:col>
      <xdr:colOff>247319</xdr:colOff>
      <xdr:row>45</xdr:row>
      <xdr:rowOff>171070</xdr:rowOff>
    </xdr:to>
    <xdr:pic>
      <xdr:nvPicPr>
        <xdr:cNvPr id="3" name="Picture 2" descr="Diagram&#10;&#10;Description automatically generated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642" t="6796" r="28871" b="13729"/>
        <a:stretch/>
      </xdr:blipFill>
      <xdr:spPr bwMode="auto">
        <a:xfrm>
          <a:off x="10458545" y="2805373"/>
          <a:ext cx="12407094" cy="597136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476250</xdr:colOff>
      <xdr:row>9</xdr:row>
      <xdr:rowOff>161925</xdr:rowOff>
    </xdr:from>
    <xdr:to>
      <xdr:col>34</xdr:col>
      <xdr:colOff>114300</xdr:colOff>
      <xdr:row>33</xdr:row>
      <xdr:rowOff>142875</xdr:rowOff>
    </xdr:to>
    <xdr:pic>
      <xdr:nvPicPr>
        <xdr:cNvPr id="2" name="Picture 1" descr="Graphical user interface&#10;&#10;Description automatically generated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642" t="18782" r="26717" b="32112"/>
        <a:stretch/>
      </xdr:blipFill>
      <xdr:spPr bwMode="auto">
        <a:xfrm>
          <a:off x="9620250" y="2095500"/>
          <a:ext cx="12153900" cy="4629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381000</xdr:colOff>
          <xdr:row>20</xdr:row>
          <xdr:rowOff>9525</xdr:rowOff>
        </xdr:from>
        <xdr:to>
          <xdr:col>15</xdr:col>
          <xdr:colOff>180975</xdr:colOff>
          <xdr:row>28</xdr:row>
          <xdr:rowOff>47625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8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161925</xdr:rowOff>
        </xdr:from>
        <xdr:to>
          <xdr:col>8</xdr:col>
          <xdr:colOff>152400</xdr:colOff>
          <xdr:row>33</xdr:row>
          <xdr:rowOff>171450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8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19050</xdr:rowOff>
    </xdr:from>
    <xdr:to>
      <xdr:col>24</xdr:col>
      <xdr:colOff>209550</xdr:colOff>
      <xdr:row>32</xdr:row>
      <xdr:rowOff>123825</xdr:rowOff>
    </xdr:to>
    <xdr:pic>
      <xdr:nvPicPr>
        <xdr:cNvPr id="2" name="Picture 1" descr="A picture containing diagram&#10;&#10;Description automatically generated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126" t="18397" r="20375" b="28763"/>
        <a:stretch/>
      </xdr:blipFill>
      <xdr:spPr bwMode="auto">
        <a:xfrm>
          <a:off x="2438400" y="590550"/>
          <a:ext cx="12553950" cy="56292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609599</xdr:colOff>
      <xdr:row>8</xdr:row>
      <xdr:rowOff>0</xdr:rowOff>
    </xdr:from>
    <xdr:to>
      <xdr:col>22</xdr:col>
      <xdr:colOff>504824</xdr:colOff>
      <xdr:row>34</xdr:row>
      <xdr:rowOff>133350</xdr:rowOff>
    </xdr:to>
    <xdr:pic>
      <xdr:nvPicPr>
        <xdr:cNvPr id="3" name="Picture 2" descr="Graphical user interface, text&#10;&#10;Description automatically generated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126" t="18648" r="19929" b="38147"/>
        <a:stretch/>
      </xdr:blipFill>
      <xdr:spPr bwMode="auto">
        <a:xfrm>
          <a:off x="1219199" y="1600200"/>
          <a:ext cx="13344525" cy="50863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346290</xdr:colOff>
      <xdr:row>0</xdr:row>
      <xdr:rowOff>0</xdr:rowOff>
    </xdr:from>
    <xdr:to>
      <xdr:col>27</xdr:col>
      <xdr:colOff>521614</xdr:colOff>
      <xdr:row>28</xdr:row>
      <xdr:rowOff>187756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7829" t="18647" r="29239" b="30665"/>
        <a:stretch/>
      </xdr:blipFill>
      <xdr:spPr bwMode="auto">
        <a:xfrm>
          <a:off x="9120591" y="0"/>
          <a:ext cx="8763968" cy="57574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9</xdr:row>
      <xdr:rowOff>161925</xdr:rowOff>
    </xdr:from>
    <xdr:to>
      <xdr:col>17</xdr:col>
      <xdr:colOff>484680</xdr:colOff>
      <xdr:row>34</xdr:row>
      <xdr:rowOff>95250</xdr:rowOff>
    </xdr:to>
    <xdr:pic>
      <xdr:nvPicPr>
        <xdr:cNvPr id="2" name="Picture 1" descr="Graphical user interface, text, application&#10;&#10;Description automatically generated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85" t="18034" r="33778" b="38669"/>
        <a:stretch/>
      </xdr:blipFill>
      <xdr:spPr bwMode="auto">
        <a:xfrm>
          <a:off x="990599" y="1876425"/>
          <a:ext cx="11133631" cy="46958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400050</xdr:colOff>
      <xdr:row>1</xdr:row>
      <xdr:rowOff>133350</xdr:rowOff>
    </xdr:from>
    <xdr:to>
      <xdr:col>28</xdr:col>
      <xdr:colOff>295275</xdr:colOff>
      <xdr:row>29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73" t="18648" r="27688" b="26040"/>
        <a:stretch/>
      </xdr:blipFill>
      <xdr:spPr bwMode="auto">
        <a:xfrm>
          <a:off x="7105650" y="323850"/>
          <a:ext cx="10258425" cy="5353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466724</xdr:colOff>
      <xdr:row>21</xdr:row>
      <xdr:rowOff>21368</xdr:rowOff>
    </xdr:from>
    <xdr:to>
      <xdr:col>20</xdr:col>
      <xdr:colOff>409575</xdr:colOff>
      <xdr:row>57</xdr:row>
      <xdr:rowOff>176115</xdr:rowOff>
    </xdr:to>
    <xdr:pic>
      <xdr:nvPicPr>
        <xdr:cNvPr id="2" name="Picture 1" descr="Text&#10;&#10;Description automatically generated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839" t="12606" r="10657" b="11601"/>
        <a:stretch/>
      </xdr:blipFill>
      <xdr:spPr bwMode="auto">
        <a:xfrm>
          <a:off x="466724" y="4555268"/>
          <a:ext cx="13077826" cy="70127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133349</xdr:colOff>
      <xdr:row>2</xdr:row>
      <xdr:rowOff>180975</xdr:rowOff>
    </xdr:from>
    <xdr:to>
      <xdr:col>32</xdr:col>
      <xdr:colOff>85724</xdr:colOff>
      <xdr:row>30</xdr:row>
      <xdr:rowOff>85725</xdr:rowOff>
    </xdr:to>
    <xdr:pic>
      <xdr:nvPicPr>
        <xdr:cNvPr id="2" name="Picture 1" descr="Diagram&#10;&#10;Description automatically generated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5311" t="26034" r="29502" b="35259"/>
        <a:stretch/>
      </xdr:blipFill>
      <xdr:spPr bwMode="auto">
        <a:xfrm>
          <a:off x="8820149" y="561975"/>
          <a:ext cx="10925175" cy="53149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361950</xdr:colOff>
      <xdr:row>1</xdr:row>
      <xdr:rowOff>66675</xdr:rowOff>
    </xdr:from>
    <xdr:to>
      <xdr:col>30</xdr:col>
      <xdr:colOff>133350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2" t="19043" r="24804" b="16613"/>
        <a:stretch/>
      </xdr:blipFill>
      <xdr:spPr bwMode="auto">
        <a:xfrm>
          <a:off x="11506200" y="257175"/>
          <a:ext cx="7696200" cy="47148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10.w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9.wmf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0B88-6FFF-41A6-AB7C-B723F3E69C0D}">
  <dimension ref="B5:Q6"/>
  <sheetViews>
    <sheetView workbookViewId="0">
      <selection activeCell="G11" sqref="G11"/>
    </sheetView>
  </sheetViews>
  <sheetFormatPr defaultRowHeight="15" x14ac:dyDescent="0.25"/>
  <cols>
    <col min="7" max="7" width="15" customWidth="1"/>
    <col min="8" max="8" width="13.28515625" customWidth="1"/>
    <col min="17" max="17" width="22.140625" customWidth="1"/>
  </cols>
  <sheetData>
    <row r="5" spans="2:17" x14ac:dyDescent="0.25">
      <c r="B5" s="7" t="s">
        <v>24</v>
      </c>
      <c r="C5" s="7" t="s">
        <v>69</v>
      </c>
      <c r="D5" s="7" t="s">
        <v>78</v>
      </c>
      <c r="E5" s="7" t="s">
        <v>44</v>
      </c>
      <c r="F5" s="7" t="s">
        <v>70</v>
      </c>
      <c r="G5" s="7" t="s">
        <v>124</v>
      </c>
      <c r="H5" s="7" t="s">
        <v>125</v>
      </c>
      <c r="I5" s="7" t="s">
        <v>126</v>
      </c>
      <c r="J5" s="7" t="s">
        <v>127</v>
      </c>
      <c r="K5" s="7" t="s">
        <v>128</v>
      </c>
      <c r="L5" s="7" t="s">
        <v>129</v>
      </c>
      <c r="M5" s="7" t="s">
        <v>130</v>
      </c>
      <c r="N5" s="7" t="s">
        <v>131</v>
      </c>
      <c r="O5" s="7" t="s">
        <v>61</v>
      </c>
      <c r="P5" s="7" t="s">
        <v>67</v>
      </c>
      <c r="Q5" s="7" t="s">
        <v>132</v>
      </c>
    </row>
    <row r="6" spans="2:17" ht="21" x14ac:dyDescent="0.35">
      <c r="B6" s="18">
        <v>0.5</v>
      </c>
      <c r="C6" s="18">
        <v>0.5</v>
      </c>
      <c r="D6" s="18">
        <v>5</v>
      </c>
      <c r="E6" s="17">
        <f>B6/D6</f>
        <v>0.1</v>
      </c>
      <c r="F6" s="17">
        <f>C6/D6</f>
        <v>0.1</v>
      </c>
      <c r="G6" s="17">
        <f>(1+E6^2)^0.5</f>
        <v>1.004987562112089</v>
      </c>
      <c r="H6" s="17">
        <f>(1+F6^2)^0.5</f>
        <v>1.004987562112089</v>
      </c>
      <c r="I6" s="17">
        <f>F6/G6</f>
        <v>9.9503719020998929E-2</v>
      </c>
      <c r="J6" s="17">
        <f>E6/H6</f>
        <v>9.9503719020998929E-2</v>
      </c>
      <c r="K6" s="17">
        <f>ATAN(I6)</f>
        <v>9.9177261079402376E-2</v>
      </c>
      <c r="L6" s="17">
        <f>ATAN(J6)</f>
        <v>9.9177261079402376E-2</v>
      </c>
      <c r="M6" s="17">
        <f>E6/G6</f>
        <v>9.9503719020998929E-2</v>
      </c>
      <c r="N6" s="17">
        <f>F6/H6</f>
        <v>9.9503719020998929E-2</v>
      </c>
      <c r="O6" s="17">
        <f>M6*K6</f>
        <v>9.8685063197171078E-3</v>
      </c>
      <c r="P6" s="17">
        <f>N6*L6</f>
        <v>9.8685063197171078E-3</v>
      </c>
      <c r="Q6" s="19">
        <f>(1/(2*pi))*(O6+P6)</f>
        <v>3.1412431234331718E-3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1B6-89F0-4410-8755-C2993C5A032C}">
  <dimension ref="B7:X9"/>
  <sheetViews>
    <sheetView topLeftCell="A2" workbookViewId="0">
      <selection activeCell="X9" sqref="X9"/>
    </sheetView>
  </sheetViews>
  <sheetFormatPr defaultRowHeight="15" x14ac:dyDescent="0.25"/>
  <cols>
    <col min="24" max="24" width="23.7109375" customWidth="1"/>
  </cols>
  <sheetData>
    <row r="7" spans="2:24" x14ac:dyDescent="0.25">
      <c r="F7" s="7"/>
    </row>
    <row r="8" spans="2:24" x14ac:dyDescent="0.25">
      <c r="B8" s="7" t="s">
        <v>0</v>
      </c>
      <c r="C8" s="7" t="s">
        <v>28</v>
      </c>
      <c r="D8" s="7" t="s">
        <v>111</v>
      </c>
      <c r="E8" s="7" t="s">
        <v>6</v>
      </c>
      <c r="F8" s="7" t="s">
        <v>29</v>
      </c>
      <c r="G8" s="7" t="s">
        <v>8</v>
      </c>
      <c r="H8" s="7" t="s">
        <v>46</v>
      </c>
      <c r="I8" s="7" t="s">
        <v>85</v>
      </c>
      <c r="J8" s="7" t="s">
        <v>133</v>
      </c>
      <c r="K8" s="7" t="s">
        <v>134</v>
      </c>
      <c r="L8" s="7" t="s">
        <v>135</v>
      </c>
      <c r="M8" s="7" t="s">
        <v>136</v>
      </c>
      <c r="N8" s="7" t="s">
        <v>85</v>
      </c>
      <c r="O8" s="7" t="s">
        <v>54</v>
      </c>
      <c r="P8" s="7" t="s">
        <v>55</v>
      </c>
      <c r="Q8" s="7" t="s">
        <v>133</v>
      </c>
      <c r="R8" s="7" t="s">
        <v>137</v>
      </c>
      <c r="S8" s="7" t="s">
        <v>85</v>
      </c>
      <c r="T8" s="7" t="s">
        <v>54</v>
      </c>
      <c r="U8" s="7" t="s">
        <v>55</v>
      </c>
      <c r="V8" s="7" t="s">
        <v>133</v>
      </c>
      <c r="W8" s="7" t="s">
        <v>138</v>
      </c>
      <c r="X8" s="7" t="s">
        <v>139</v>
      </c>
    </row>
    <row r="9" spans="2:24" ht="21" x14ac:dyDescent="0.35">
      <c r="B9" s="11">
        <v>40</v>
      </c>
      <c r="C9" s="11">
        <v>10</v>
      </c>
      <c r="D9" s="11">
        <v>5</v>
      </c>
      <c r="E9" s="17">
        <f>B9/D9</f>
        <v>8</v>
      </c>
      <c r="F9" s="17">
        <f>C9/D9</f>
        <v>2</v>
      </c>
      <c r="G9" s="20">
        <f>(1+F9)^2+E9^2</f>
        <v>73</v>
      </c>
      <c r="H9" s="20">
        <f>(1-F9)^2+E9^2</f>
        <v>65</v>
      </c>
      <c r="I9" s="21">
        <f>1/(pi*F9)</f>
        <v>0.15915494309189535</v>
      </c>
      <c r="J9" s="21">
        <f>ATAN(E9/((F9^2-1)^0.5))</f>
        <v>1.3575808169694668</v>
      </c>
      <c r="K9">
        <f>I9*J9</f>
        <v>0.21606569766742428</v>
      </c>
      <c r="L9">
        <f>G9-2*F9</f>
        <v>69</v>
      </c>
      <c r="M9">
        <f>F9*(G9*H9)^0.5</f>
        <v>137.7679207943562</v>
      </c>
      <c r="N9">
        <f>L9/M9</f>
        <v>0.5008422831828544</v>
      </c>
      <c r="O9">
        <f>G9*(F9-1)</f>
        <v>73</v>
      </c>
      <c r="P9">
        <f>H9*(F9+1)</f>
        <v>195</v>
      </c>
      <c r="Q9">
        <f>ATAN((O9/P9)^0.5)</f>
        <v>0.54908634205229045</v>
      </c>
      <c r="R9">
        <f>(E9/pi)*N9*Q9</f>
        <v>0.70029615559165792</v>
      </c>
      <c r="S9">
        <f>-E9/(pi*F9)</f>
        <v>-1.2732395447351628</v>
      </c>
      <c r="T9">
        <f>F9-1</f>
        <v>1</v>
      </c>
      <c r="U9">
        <f>F9+1</f>
        <v>3</v>
      </c>
      <c r="V9">
        <f>ATAN((T9/U9)^0.5)</f>
        <v>0.52359877559829882</v>
      </c>
      <c r="W9">
        <f>S9*V9</f>
        <v>-0.66666666666666663</v>
      </c>
      <c r="X9" s="22">
        <f>K9+R9+W9</f>
        <v>0.24969518659241563</v>
      </c>
    </row>
  </sheetData>
  <pageMargins left="0.7" right="0.7" top="0.75" bottom="0.75" header="0.3" footer="0.3"/>
  <pageSetup paperSize="0" orientation="portrait" horizontalDpi="0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B61B-5FB5-4D58-BD12-B8B19C312926}">
  <dimension ref="E4:AA5"/>
  <sheetViews>
    <sheetView topLeftCell="F1" workbookViewId="0">
      <selection activeCell="P4" sqref="P4:Z5"/>
    </sheetView>
  </sheetViews>
  <sheetFormatPr defaultRowHeight="15" x14ac:dyDescent="0.25"/>
  <cols>
    <col min="27" max="27" width="20.42578125" customWidth="1"/>
  </cols>
  <sheetData>
    <row r="4" spans="5:27" ht="21" x14ac:dyDescent="0.25">
      <c r="E4" s="7" t="s">
        <v>24</v>
      </c>
      <c r="F4" s="7" t="s">
        <v>69</v>
      </c>
      <c r="G4" s="7" t="s">
        <v>78</v>
      </c>
      <c r="H4" s="7" t="s">
        <v>8</v>
      </c>
      <c r="I4" s="7" t="s">
        <v>46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54</v>
      </c>
      <c r="O4" s="7" t="s">
        <v>55</v>
      </c>
      <c r="P4" s="34" t="s">
        <v>48</v>
      </c>
      <c r="Q4" s="35" t="s">
        <v>40</v>
      </c>
      <c r="R4" s="35" t="s">
        <v>100</v>
      </c>
      <c r="S4" s="35" t="s">
        <v>41</v>
      </c>
      <c r="T4" s="34" t="s">
        <v>49</v>
      </c>
      <c r="U4" s="35" t="s">
        <v>40</v>
      </c>
      <c r="V4" s="35" t="s">
        <v>100</v>
      </c>
      <c r="W4" s="35" t="s">
        <v>41</v>
      </c>
      <c r="X4" s="34" t="s">
        <v>50</v>
      </c>
      <c r="Y4" s="34" t="s">
        <v>52</v>
      </c>
      <c r="Z4" s="34" t="s">
        <v>101</v>
      </c>
      <c r="AA4" s="13" t="s">
        <v>42</v>
      </c>
    </row>
    <row r="5" spans="5:27" ht="21" x14ac:dyDescent="0.35">
      <c r="E5" s="11">
        <v>1</v>
      </c>
      <c r="F5" s="11">
        <v>1</v>
      </c>
      <c r="G5" s="11">
        <v>0.01</v>
      </c>
      <c r="H5" s="7">
        <f>E5/G5</f>
        <v>100</v>
      </c>
      <c r="I5" s="7">
        <f>F5/G5</f>
        <v>100</v>
      </c>
      <c r="J5" s="7">
        <f>1+H5^2</f>
        <v>10001</v>
      </c>
      <c r="K5" s="7">
        <f>1+I5^2</f>
        <v>10001</v>
      </c>
      <c r="L5" s="7">
        <f>J5^0.5</f>
        <v>100.00499987500625</v>
      </c>
      <c r="M5" s="7">
        <f>K5^0.5</f>
        <v>100.00499987500625</v>
      </c>
      <c r="N5" s="7">
        <f>J5*K5</f>
        <v>100020001</v>
      </c>
      <c r="O5" s="7">
        <f>1+H5^2+I5^2</f>
        <v>20001</v>
      </c>
      <c r="P5" s="34">
        <f>LN((N5/O5)^0.5)</f>
        <v>4.2586715913334316</v>
      </c>
      <c r="Q5" s="35">
        <f>H5*M5</f>
        <v>10000.499987500625</v>
      </c>
      <c r="R5" s="35">
        <f>H5/M5</f>
        <v>0.99995000374968757</v>
      </c>
      <c r="S5" s="35">
        <f>ATAN(R5)</f>
        <v>0.78537316464737539</v>
      </c>
      <c r="T5" s="34">
        <f>Q5*S5</f>
        <v>7854.1243232394036</v>
      </c>
      <c r="U5" s="35">
        <f>I5*L5</f>
        <v>10000.499987500625</v>
      </c>
      <c r="V5" s="35">
        <f>I5/L5</f>
        <v>0.99995000374968757</v>
      </c>
      <c r="W5" s="35">
        <f>ATAN(V5)</f>
        <v>0.78537316464737539</v>
      </c>
      <c r="X5" s="34">
        <f>U5*W5</f>
        <v>7854.1243232394036</v>
      </c>
      <c r="Y5" s="34">
        <f>-H5*ATAN(H5)</f>
        <v>-156.07966601082316</v>
      </c>
      <c r="Z5" s="27">
        <f>-I5*ATAN(I5)</f>
        <v>-156.07966601082316</v>
      </c>
      <c r="AA5" s="14">
        <f>(2/(pi*H5*I5))*(P5+T5+X5+Y5+Z5)</f>
        <v>0.98041660292597332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A610-F296-46CF-BC30-D8458D28EAA0}">
  <dimension ref="E10:X13"/>
  <sheetViews>
    <sheetView topLeftCell="A10" workbookViewId="0">
      <selection activeCell="N13" sqref="N13:S13"/>
    </sheetView>
  </sheetViews>
  <sheetFormatPr defaultRowHeight="15" x14ac:dyDescent="0.25"/>
  <cols>
    <col min="15" max="15" width="12.42578125" customWidth="1"/>
    <col min="16" max="16" width="11.140625" customWidth="1"/>
    <col min="22" max="22" width="10.140625" customWidth="1"/>
    <col min="23" max="23" width="16.85546875" customWidth="1"/>
    <col min="24" max="24" width="21.7109375" customWidth="1"/>
  </cols>
  <sheetData>
    <row r="10" spans="5:24" x14ac:dyDescent="0.25">
      <c r="W10" s="3" t="s">
        <v>103</v>
      </c>
      <c r="X10" s="4" t="s">
        <v>102</v>
      </c>
    </row>
    <row r="11" spans="5:24" x14ac:dyDescent="0.25">
      <c r="W11" t="s">
        <v>82</v>
      </c>
      <c r="X11" t="s">
        <v>81</v>
      </c>
    </row>
    <row r="12" spans="5:24" x14ac:dyDescent="0.25">
      <c r="E12" t="s">
        <v>24</v>
      </c>
      <c r="F12" t="s">
        <v>69</v>
      </c>
      <c r="G12" t="s">
        <v>78</v>
      </c>
      <c r="H12" t="s">
        <v>44</v>
      </c>
      <c r="I12" t="s">
        <v>70</v>
      </c>
      <c r="J12" t="s">
        <v>8</v>
      </c>
      <c r="K12" t="s">
        <v>46</v>
      </c>
      <c r="L12" t="s">
        <v>54</v>
      </c>
      <c r="M12" t="s">
        <v>55</v>
      </c>
      <c r="N12" t="s">
        <v>40</v>
      </c>
      <c r="O12" t="s">
        <v>79</v>
      </c>
      <c r="P12" t="s">
        <v>80</v>
      </c>
      <c r="Q12" t="s">
        <v>48</v>
      </c>
      <c r="R12" t="s">
        <v>49</v>
      </c>
      <c r="S12" t="s">
        <v>41</v>
      </c>
      <c r="T12" t="s">
        <v>61</v>
      </c>
      <c r="U12" t="s">
        <v>49</v>
      </c>
      <c r="V12" t="s">
        <v>51</v>
      </c>
      <c r="W12" t="s">
        <v>42</v>
      </c>
      <c r="X12" t="s">
        <v>42</v>
      </c>
    </row>
    <row r="13" spans="5:24" ht="21" x14ac:dyDescent="0.35">
      <c r="E13" s="36">
        <v>1</v>
      </c>
      <c r="F13" s="36">
        <v>1</v>
      </c>
      <c r="G13" s="36">
        <v>20</v>
      </c>
      <c r="H13">
        <f>E13/G13</f>
        <v>0.05</v>
      </c>
      <c r="I13">
        <f>F13/E13</f>
        <v>1</v>
      </c>
      <c r="J13">
        <f>A*(1+BB)</f>
        <v>0.1</v>
      </c>
      <c r="K13">
        <f>A*(1-BB)</f>
        <v>0</v>
      </c>
      <c r="L13">
        <f>(A^2*(1+BB^2)+2)^2</f>
        <v>4.0200249999999995</v>
      </c>
      <c r="M13">
        <f>(Y^2+2)*(X^2+2)</f>
        <v>4.0199999999999996</v>
      </c>
      <c r="N13" s="37">
        <f>LN(L13/M13)</f>
        <v>6.2188861352756094E-6</v>
      </c>
      <c r="O13" s="38">
        <f>(X^2+4)^0.5</f>
        <v>2.0024984394500787</v>
      </c>
      <c r="P13" s="38">
        <f>(Y^2+4)^0.5</f>
        <v>2</v>
      </c>
      <c r="Q13" s="38">
        <f>Y*ATAN(Y/P13)</f>
        <v>0</v>
      </c>
      <c r="R13" s="38">
        <f>-X*ATAN(X/P13)</f>
        <v>-4.9958395721942765E-3</v>
      </c>
      <c r="S13" s="37">
        <f>P13*(Q13+R13)</f>
        <v>-9.991679144388553E-3</v>
      </c>
      <c r="T13">
        <f>X*ATAN(X/O13)</f>
        <v>4.9896168041020181E-3</v>
      </c>
      <c r="U13">
        <f>-Y*ATAN(Y/O13)</f>
        <v>0</v>
      </c>
      <c r="V13">
        <f>O13*(T13+U13)</f>
        <v>9.9916998636681801E-3</v>
      </c>
      <c r="W13" s="12">
        <f>(1/(pi*A^2))*(N13+S13+V13)</f>
        <v>7.9445123577970506E-4</v>
      </c>
      <c r="X13" s="12">
        <f>(A*BB)^2/pi</f>
        <v>7.9577471545947689E-4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3E35-300B-4BE8-9100-D5CA77A489BA}">
  <dimension ref="C2:K6"/>
  <sheetViews>
    <sheetView zoomScale="124" zoomScaleNormal="124" workbookViewId="0">
      <selection activeCell="K6" sqref="K6"/>
    </sheetView>
  </sheetViews>
  <sheetFormatPr defaultRowHeight="15" x14ac:dyDescent="0.25"/>
  <cols>
    <col min="11" max="11" width="18" customWidth="1"/>
  </cols>
  <sheetData>
    <row r="2" spans="3:11" x14ac:dyDescent="0.25">
      <c r="C2" s="33" t="s">
        <v>104</v>
      </c>
      <c r="D2" s="33"/>
      <c r="E2" s="15" t="s">
        <v>33</v>
      </c>
      <c r="F2" s="15" t="s">
        <v>54</v>
      </c>
      <c r="G2" s="15" t="s">
        <v>71</v>
      </c>
      <c r="H2" s="15" t="s">
        <v>105</v>
      </c>
      <c r="I2" s="15" t="s">
        <v>106</v>
      </c>
      <c r="J2" s="15" t="s">
        <v>55</v>
      </c>
      <c r="K2" s="15" t="s">
        <v>107</v>
      </c>
    </row>
    <row r="3" spans="3:11" ht="21" x14ac:dyDescent="0.25">
      <c r="C3" s="11">
        <v>15</v>
      </c>
      <c r="D3" s="7">
        <f>pi*C3/180</f>
        <v>0.26179938779914941</v>
      </c>
      <c r="E3" s="11">
        <v>1</v>
      </c>
      <c r="F3" s="7">
        <f>0.43995*E3^0.0871</f>
        <v>0.43995000000000001</v>
      </c>
      <c r="G3" s="7">
        <f>D3^0.0187</f>
        <v>0.97525012201326144</v>
      </c>
      <c r="H3" s="7">
        <f>(E3^-2.0849+D3^0.0871)^0.6587</f>
        <v>1.5208243071380825</v>
      </c>
      <c r="I3" s="7">
        <f>(E3^1.5473+D3^1.4836)^1.5932</f>
        <v>1.2268597110875494</v>
      </c>
      <c r="J3" s="7">
        <f>G3+H3*I3</f>
        <v>2.8410881920836122</v>
      </c>
      <c r="K3" s="13">
        <f>F3/J3</f>
        <v>0.15485263753018069</v>
      </c>
    </row>
    <row r="6" spans="3:11" x14ac:dyDescent="0.25">
      <c r="E6" t="s">
        <v>108</v>
      </c>
    </row>
  </sheetData>
  <mergeCells count="1">
    <mergeCell ref="C2:D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7B08-FC21-4F25-9B47-B47F2CA4F82A}">
  <dimension ref="A3:U10"/>
  <sheetViews>
    <sheetView workbookViewId="0">
      <selection activeCell="C11" sqref="C11"/>
    </sheetView>
  </sheetViews>
  <sheetFormatPr defaultRowHeight="15" x14ac:dyDescent="0.25"/>
  <cols>
    <col min="21" max="21" width="26" customWidth="1"/>
  </cols>
  <sheetData>
    <row r="3" spans="1:21" x14ac:dyDescent="0.25">
      <c r="D3" t="s">
        <v>83</v>
      </c>
      <c r="E3">
        <f>4*ATAN(1)</f>
        <v>3.1415926535897931</v>
      </c>
    </row>
    <row r="9" spans="1:21" x14ac:dyDescent="0.25">
      <c r="A9" s="7" t="s">
        <v>95</v>
      </c>
      <c r="B9" s="7" t="s">
        <v>0</v>
      </c>
      <c r="C9" s="7" t="s">
        <v>28</v>
      </c>
      <c r="D9" s="7" t="s">
        <v>29</v>
      </c>
      <c r="E9" s="7" t="s">
        <v>84</v>
      </c>
      <c r="F9" s="7" t="s">
        <v>85</v>
      </c>
      <c r="G9" s="7" t="s">
        <v>41</v>
      </c>
      <c r="H9" s="7" t="s">
        <v>86</v>
      </c>
      <c r="I9" s="7" t="s">
        <v>48</v>
      </c>
      <c r="J9" s="7" t="s">
        <v>66</v>
      </c>
      <c r="K9" s="7" t="s">
        <v>87</v>
      </c>
      <c r="L9" s="7" t="s">
        <v>88</v>
      </c>
      <c r="M9" s="7" t="s">
        <v>89</v>
      </c>
      <c r="N9" s="7" t="s">
        <v>90</v>
      </c>
      <c r="O9" s="7" t="s">
        <v>91</v>
      </c>
      <c r="P9" s="7" t="s">
        <v>92</v>
      </c>
      <c r="Q9" s="7" t="s">
        <v>48</v>
      </c>
      <c r="R9" s="7" t="s">
        <v>49</v>
      </c>
      <c r="S9" s="7" t="s">
        <v>50</v>
      </c>
      <c r="T9" s="7" t="s">
        <v>93</v>
      </c>
      <c r="U9" s="7" t="s">
        <v>94</v>
      </c>
    </row>
    <row r="10" spans="1:21" ht="21" x14ac:dyDescent="0.25">
      <c r="A10" s="11">
        <v>1</v>
      </c>
      <c r="B10" s="11">
        <v>200</v>
      </c>
      <c r="C10" s="11">
        <v>200</v>
      </c>
      <c r="D10" s="7">
        <f>C10/B10</f>
        <v>1</v>
      </c>
      <c r="E10" s="7">
        <f>A10/B10</f>
        <v>5.0000000000000001E-3</v>
      </c>
      <c r="F10" s="7">
        <f>1/($E$3*E10)</f>
        <v>63.661977236758133</v>
      </c>
      <c r="G10" s="7">
        <f>E10*ATAN(1/E10)</f>
        <v>7.8289818423046918E-3</v>
      </c>
      <c r="H10" s="7">
        <f>D10*ATAN(1/D10)</f>
        <v>0.78539816339744828</v>
      </c>
      <c r="I10" s="7">
        <f>(D10^2+E10^2)^0.5</f>
        <v>1.000012499921876</v>
      </c>
      <c r="J10" s="7">
        <f>-I10*ATAN(1/I10)</f>
        <v>-0.78540173081313258</v>
      </c>
      <c r="K10" s="7">
        <f>D10^2</f>
        <v>1</v>
      </c>
      <c r="L10" s="7">
        <f>E10^2</f>
        <v>2.5000000000000001E-5</v>
      </c>
      <c r="M10" s="7">
        <f>1+K10</f>
        <v>2</v>
      </c>
      <c r="N10" s="7">
        <f>1+L10</f>
        <v>1.0000249999999999</v>
      </c>
      <c r="O10" s="7">
        <f>M10+L10</f>
        <v>2.0000249999999999</v>
      </c>
      <c r="P10" s="7">
        <f>O10-1</f>
        <v>1.0000249999999999</v>
      </c>
      <c r="Q10" s="7">
        <f>N10*M10/O10</f>
        <v>1.0000124998437518</v>
      </c>
      <c r="R10" s="7">
        <f>((L10*O10)/(N10*P10))^L10</f>
        <v>0.99975244252111106</v>
      </c>
      <c r="S10" s="7">
        <f>((K10*O10)/(M10*P10))^K10</f>
        <v>0.99998750031249217</v>
      </c>
      <c r="T10" s="7">
        <f>0.25*LN(Q10*R10*S10)</f>
        <v>-6.1897031574956836E-5</v>
      </c>
      <c r="U10" s="10">
        <f>F10*(G10+H10+J10+T10)</f>
        <v>0.49424086768056108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C14F-2060-4EE4-A1A0-C9864918A44A}">
  <dimension ref="E4:I21"/>
  <sheetViews>
    <sheetView workbookViewId="0">
      <selection activeCell="F21" sqref="F21"/>
    </sheetView>
  </sheetViews>
  <sheetFormatPr defaultRowHeight="15" x14ac:dyDescent="0.25"/>
  <cols>
    <col min="6" max="6" width="18.140625" customWidth="1"/>
  </cols>
  <sheetData>
    <row r="4" spans="5:9" x14ac:dyDescent="0.25">
      <c r="E4" t="s">
        <v>1</v>
      </c>
      <c r="F4" s="4">
        <v>20</v>
      </c>
      <c r="H4" t="s">
        <v>25</v>
      </c>
      <c r="I4">
        <f>F4/F6</f>
        <v>1.3333333333333333</v>
      </c>
    </row>
    <row r="5" spans="5:9" x14ac:dyDescent="0.25">
      <c r="E5" t="s">
        <v>2</v>
      </c>
      <c r="F5" s="4">
        <v>10</v>
      </c>
      <c r="H5" t="s">
        <v>26</v>
      </c>
      <c r="I5">
        <f>F5/F6</f>
        <v>0.66666666666666663</v>
      </c>
    </row>
    <row r="6" spans="5:9" x14ac:dyDescent="0.25">
      <c r="E6" t="s">
        <v>24</v>
      </c>
      <c r="F6" s="31">
        <v>15</v>
      </c>
    </row>
    <row r="9" spans="5:9" x14ac:dyDescent="0.25">
      <c r="E9" t="s">
        <v>8</v>
      </c>
      <c r="F9">
        <f>1+(1+I5^2)/I4^2</f>
        <v>1.8125</v>
      </c>
    </row>
    <row r="12" spans="5:9" ht="21" x14ac:dyDescent="0.35">
      <c r="E12" t="s">
        <v>27</v>
      </c>
      <c r="F12" s="23">
        <f>0.5*(F9-(F9^2-4*(I5/I4)^2)^0.5)</f>
        <v>0.15041333609701102</v>
      </c>
    </row>
    <row r="16" spans="5:9" x14ac:dyDescent="0.25">
      <c r="F16">
        <v>1.4749294622902198E-3</v>
      </c>
    </row>
    <row r="18" spans="6:6" x14ac:dyDescent="0.25">
      <c r="F18" s="24">
        <v>0.76393202250021019</v>
      </c>
    </row>
    <row r="19" spans="6:6" x14ac:dyDescent="0.25">
      <c r="F19">
        <v>0.15041333609701102</v>
      </c>
    </row>
    <row r="21" spans="6:6" x14ac:dyDescent="0.25">
      <c r="F21" s="24">
        <f>F18-F19</f>
        <v>0.61351868640319918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707E-B543-46B3-B7AB-E25575AA8C10}">
  <dimension ref="D9:W37"/>
  <sheetViews>
    <sheetView topLeftCell="A25" zoomScale="93" zoomScaleNormal="93" workbookViewId="0">
      <selection activeCell="L17" sqref="L17"/>
    </sheetView>
  </sheetViews>
  <sheetFormatPr defaultRowHeight="15" x14ac:dyDescent="0.25"/>
  <cols>
    <col min="7" max="7" width="11" bestFit="1" customWidth="1"/>
    <col min="12" max="12" width="17.42578125" customWidth="1"/>
  </cols>
  <sheetData>
    <row r="9" spans="4:23" x14ac:dyDescent="0.25">
      <c r="D9" t="s">
        <v>35</v>
      </c>
      <c r="E9" t="s">
        <v>36</v>
      </c>
      <c r="F9" t="s">
        <v>140</v>
      </c>
      <c r="G9" t="s">
        <v>28</v>
      </c>
      <c r="H9" t="s">
        <v>53</v>
      </c>
      <c r="I9" t="s">
        <v>56</v>
      </c>
      <c r="J9" t="s">
        <v>141</v>
      </c>
      <c r="K9" t="s">
        <v>44</v>
      </c>
      <c r="L9" t="s">
        <v>70</v>
      </c>
      <c r="M9" t="s">
        <v>45</v>
      </c>
      <c r="N9" t="s">
        <v>142</v>
      </c>
      <c r="O9" t="s">
        <v>46</v>
      </c>
    </row>
    <row r="10" spans="4:23" x14ac:dyDescent="0.25">
      <c r="D10" s="3">
        <v>0.5</v>
      </c>
      <c r="E10" s="3">
        <v>1</v>
      </c>
      <c r="F10" s="9">
        <v>0.25</v>
      </c>
      <c r="G10" s="3">
        <f>1/3</f>
        <v>0.33333333333333331</v>
      </c>
      <c r="H10" s="27">
        <f>D10/G10</f>
        <v>1.5</v>
      </c>
      <c r="I10" s="27">
        <f>E10/G10</f>
        <v>3</v>
      </c>
      <c r="J10" s="39">
        <f>F10/G10</f>
        <v>0.75</v>
      </c>
      <c r="K10" s="39">
        <f>H10^2-J10^2</f>
        <v>1.6875</v>
      </c>
      <c r="L10" s="39">
        <f>I10^2-J10^2</f>
        <v>8.4375</v>
      </c>
      <c r="M10" s="27">
        <f>I10+H10</f>
        <v>4.5</v>
      </c>
      <c r="N10" s="27">
        <f>I10-H10</f>
        <v>1.5</v>
      </c>
      <c r="O10" s="39">
        <f>K10^0.5+L10^0.5</f>
        <v>4.203775615332221</v>
      </c>
      <c r="P10" s="26"/>
      <c r="Q10" s="27"/>
      <c r="R10" s="27"/>
      <c r="S10" s="27"/>
      <c r="T10" s="27"/>
      <c r="U10" s="27"/>
      <c r="V10" s="27"/>
      <c r="W10" s="27"/>
    </row>
    <row r="11" spans="4:23" x14ac:dyDescent="0.25">
      <c r="H11" s="38"/>
      <c r="I11" s="38"/>
      <c r="J11" s="38"/>
      <c r="K11" s="38"/>
      <c r="L11" s="38"/>
      <c r="M11" s="38"/>
      <c r="N11" s="38"/>
      <c r="O11" s="38"/>
    </row>
    <row r="12" spans="4:23" x14ac:dyDescent="0.25">
      <c r="H12" s="38"/>
      <c r="I12" s="38"/>
      <c r="J12" s="38"/>
      <c r="K12" s="38"/>
      <c r="L12" s="38"/>
      <c r="M12" s="38"/>
      <c r="N12" s="38"/>
      <c r="O12" s="38"/>
    </row>
    <row r="13" spans="4:23" x14ac:dyDescent="0.25">
      <c r="D13" s="38" t="s">
        <v>47</v>
      </c>
      <c r="E13" s="38" t="s">
        <v>143</v>
      </c>
      <c r="F13" s="38" t="s">
        <v>144</v>
      </c>
      <c r="G13" s="38" t="s">
        <v>145</v>
      </c>
      <c r="H13" s="38" t="s">
        <v>157</v>
      </c>
      <c r="I13" s="38" t="s">
        <v>158</v>
      </c>
      <c r="J13" s="38" t="s">
        <v>146</v>
      </c>
      <c r="K13" s="38" t="s">
        <v>147</v>
      </c>
      <c r="L13" s="38" t="s">
        <v>149</v>
      </c>
      <c r="M13" s="38" t="s">
        <v>150</v>
      </c>
      <c r="N13" s="38" t="s">
        <v>148</v>
      </c>
      <c r="O13" s="38" t="s">
        <v>151</v>
      </c>
    </row>
    <row r="14" spans="4:23" x14ac:dyDescent="0.25">
      <c r="D14">
        <f>1+M10^2</f>
        <v>21.25</v>
      </c>
      <c r="E14">
        <f>1+N10^2</f>
        <v>3.25</v>
      </c>
      <c r="F14" s="1">
        <f>H10-J10</f>
        <v>0.75</v>
      </c>
      <c r="G14" s="1">
        <f>I10-J10</f>
        <v>2.25</v>
      </c>
      <c r="H14" s="1">
        <f>F14^2</f>
        <v>0.5625</v>
      </c>
      <c r="I14" s="1">
        <f>G14^2</f>
        <v>5.0625</v>
      </c>
      <c r="J14" s="1">
        <f>H10+J10</f>
        <v>2.25</v>
      </c>
      <c r="K14" s="1">
        <f>I10+J10</f>
        <v>3.75</v>
      </c>
      <c r="L14" s="1">
        <f>J14^2</f>
        <v>5.0625</v>
      </c>
      <c r="M14" s="1">
        <f>K14^2</f>
        <v>14.0625</v>
      </c>
      <c r="N14" s="1">
        <f>O10^2-N10^2</f>
        <v>15.421729424061795</v>
      </c>
      <c r="O14" s="1">
        <f>M10^2-O10^2</f>
        <v>2.5782705759382054</v>
      </c>
    </row>
    <row r="16" spans="4:23" x14ac:dyDescent="0.25">
      <c r="D16" t="s">
        <v>134</v>
      </c>
    </row>
    <row r="18" spans="4:10" x14ac:dyDescent="0.25">
      <c r="D18" t="s">
        <v>152</v>
      </c>
      <c r="E18" t="s">
        <v>153</v>
      </c>
      <c r="F18" t="s">
        <v>155</v>
      </c>
      <c r="G18" t="s">
        <v>156</v>
      </c>
      <c r="H18" t="s">
        <v>154</v>
      </c>
      <c r="J18" t="s">
        <v>134</v>
      </c>
    </row>
    <row r="19" spans="4:10" x14ac:dyDescent="0.25">
      <c r="D19" s="1">
        <f>0.5*K10*ACOS(J10/I10)</f>
        <v>1.1121604354570651</v>
      </c>
      <c r="E19" s="1">
        <f>0.5*L10*ACOS(J10/H10)</f>
        <v>4.4178646691106467</v>
      </c>
      <c r="F19" s="1">
        <f>2*J10</f>
        <v>1.5</v>
      </c>
      <c r="G19" s="1">
        <f>ATAN(O10)-ATAN(K10^0.5)-ATAN(L10^0.5)</f>
        <v>-0.81672700453959401</v>
      </c>
      <c r="H19" s="1">
        <f>F19*G19</f>
        <v>-1.2250905068093911</v>
      </c>
      <c r="J19" s="1">
        <f>D19+E19+H19</f>
        <v>4.3049345977583204</v>
      </c>
    </row>
    <row r="21" spans="4:10" x14ac:dyDescent="0.25">
      <c r="D21" t="s">
        <v>137</v>
      </c>
    </row>
    <row r="23" spans="4:10" x14ac:dyDescent="0.25">
      <c r="D23" t="s">
        <v>155</v>
      </c>
      <c r="E23" t="s">
        <v>54</v>
      </c>
      <c r="F23" t="s">
        <v>55</v>
      </c>
      <c r="G23" t="s">
        <v>62</v>
      </c>
      <c r="H23" t="s">
        <v>156</v>
      </c>
      <c r="J23" t="s">
        <v>137</v>
      </c>
    </row>
    <row r="24" spans="4:10" x14ac:dyDescent="0.25">
      <c r="D24">
        <f>-((D14*E14)^0.5)</f>
        <v>-8.3103850692973307</v>
      </c>
      <c r="E24" s="1">
        <f>D14*N14</f>
        <v>327.71175026131311</v>
      </c>
      <c r="F24" s="1">
        <f>E14*O14</f>
        <v>8.3793793717991676</v>
      </c>
      <c r="G24" s="1">
        <f>(E24/F24)^0.5</f>
        <v>6.253743724608098</v>
      </c>
      <c r="H24">
        <f>ATAN(G24)</f>
        <v>1.412234457166925</v>
      </c>
      <c r="J24">
        <f>D24*H24</f>
        <v>-11.736212147187233</v>
      </c>
    </row>
    <row r="26" spans="4:10" x14ac:dyDescent="0.25">
      <c r="D26" t="s">
        <v>138</v>
      </c>
    </row>
    <row r="28" spans="4:10" x14ac:dyDescent="0.25">
      <c r="D28" t="s">
        <v>155</v>
      </c>
      <c r="E28" t="s">
        <v>54</v>
      </c>
      <c r="F28" t="s">
        <v>55</v>
      </c>
      <c r="G28" t="s">
        <v>62</v>
      </c>
      <c r="H28" t="s">
        <v>156</v>
      </c>
      <c r="J28" t="s">
        <v>138</v>
      </c>
    </row>
    <row r="29" spans="4:10" x14ac:dyDescent="0.25">
      <c r="D29" s="1">
        <f>((1+L14)*(1+H14))^0.5</f>
        <v>3.0777680630612827</v>
      </c>
      <c r="E29" s="1">
        <f>(1+L14)*F14</f>
        <v>4.546875</v>
      </c>
      <c r="F29" s="1">
        <f>(1+H14)*J14</f>
        <v>3.515625</v>
      </c>
      <c r="G29" s="1">
        <f>(E29/F29)^0.5</f>
        <v>1.1372481406154653</v>
      </c>
      <c r="H29">
        <f>ATAN(G29)</f>
        <v>0.84952733014772486</v>
      </c>
      <c r="J29">
        <f>D29*H29</f>
        <v>2.6146480854263858</v>
      </c>
    </row>
    <row r="31" spans="4:10" x14ac:dyDescent="0.25">
      <c r="D31" t="s">
        <v>159</v>
      </c>
    </row>
    <row r="33" spans="4:12" x14ac:dyDescent="0.25">
      <c r="D33" t="s">
        <v>155</v>
      </c>
      <c r="E33" t="s">
        <v>54</v>
      </c>
      <c r="F33" t="s">
        <v>55</v>
      </c>
      <c r="G33" t="s">
        <v>62</v>
      </c>
      <c r="H33" t="s">
        <v>156</v>
      </c>
      <c r="J33" t="s">
        <v>159</v>
      </c>
    </row>
    <row r="34" spans="4:12" x14ac:dyDescent="0.25">
      <c r="D34" s="1">
        <f>((1+M14)*(1+I14))^0.5</f>
        <v>9.5559618171066383</v>
      </c>
      <c r="E34" s="1">
        <f>(1+M14)*G14</f>
        <v>33.890625</v>
      </c>
      <c r="F34" s="1">
        <f>(1+I14)*K14</f>
        <v>22.734375</v>
      </c>
      <c r="G34" s="1">
        <f>(E34/F34)^0.5</f>
        <v>1.2209511249368403</v>
      </c>
      <c r="H34">
        <f>ATAN(G34)</f>
        <v>0.88455680078568288</v>
      </c>
      <c r="J34" s="1">
        <f>D34*H34</f>
        <v>8.4527910133699891</v>
      </c>
    </row>
    <row r="36" spans="4:12" x14ac:dyDescent="0.25">
      <c r="D36" t="s">
        <v>160</v>
      </c>
      <c r="L36" s="28" t="s">
        <v>161</v>
      </c>
    </row>
    <row r="37" spans="4:12" ht="21" x14ac:dyDescent="0.35">
      <c r="D37" s="1">
        <f>J19+J24+J29+J34</f>
        <v>3.6361615493674622</v>
      </c>
      <c r="L37" s="29">
        <f>D37/(pi*K10)</f>
        <v>0.68588217417779729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46A8-414F-4038-862F-9CF0824DE7D7}">
  <dimension ref="C3:R20"/>
  <sheetViews>
    <sheetView topLeftCell="A2" workbookViewId="0">
      <selection activeCell="C7" sqref="C7:F7"/>
    </sheetView>
  </sheetViews>
  <sheetFormatPr defaultRowHeight="15" x14ac:dyDescent="0.25"/>
  <cols>
    <col min="4" max="4" width="13.7109375" customWidth="1"/>
    <col min="5" max="5" width="31.42578125" customWidth="1"/>
    <col min="18" max="18" width="19.140625" customWidth="1"/>
    <col min="19" max="19" width="13.140625" customWidth="1"/>
  </cols>
  <sheetData>
    <row r="3" spans="3:18" ht="26.25" x14ac:dyDescent="0.4">
      <c r="D3" s="2"/>
    </row>
    <row r="6" spans="3:18" x14ac:dyDescent="0.25">
      <c r="C6" s="7" t="s">
        <v>35</v>
      </c>
      <c r="D6" s="7" t="s">
        <v>64</v>
      </c>
      <c r="E6" s="7" t="s">
        <v>4</v>
      </c>
      <c r="F6" s="7" t="s">
        <v>0</v>
      </c>
      <c r="G6" s="7" t="s">
        <v>53</v>
      </c>
      <c r="H6" s="7" t="s">
        <v>65</v>
      </c>
      <c r="I6" s="7" t="s">
        <v>6</v>
      </c>
      <c r="J6" s="7" t="s">
        <v>54</v>
      </c>
      <c r="K6" s="7" t="s">
        <v>55</v>
      </c>
      <c r="L6" s="7" t="s">
        <v>48</v>
      </c>
      <c r="M6" s="7" t="s">
        <v>40</v>
      </c>
      <c r="N6" s="7" t="s">
        <v>41</v>
      </c>
      <c r="O6" s="7" t="s">
        <v>51</v>
      </c>
      <c r="P6" s="7" t="s">
        <v>66</v>
      </c>
      <c r="Q6" s="7" t="s">
        <v>67</v>
      </c>
      <c r="R6" s="28" t="s">
        <v>68</v>
      </c>
    </row>
    <row r="7" spans="3:18" ht="21" x14ac:dyDescent="0.25">
      <c r="C7" s="40">
        <v>1</v>
      </c>
      <c r="D7" s="40">
        <v>0.5</v>
      </c>
      <c r="E7" s="41">
        <f>1/3</f>
        <v>0.33333333333333331</v>
      </c>
      <c r="F7" s="40">
        <v>1</v>
      </c>
      <c r="G7" s="8">
        <f>C7/E7</f>
        <v>3</v>
      </c>
      <c r="H7" s="8">
        <f>D7/E7</f>
        <v>1.5</v>
      </c>
      <c r="I7" s="8">
        <f>F7/E7</f>
        <v>3</v>
      </c>
      <c r="J7" s="8">
        <f>(H7*I7-G7)^2</f>
        <v>2.25</v>
      </c>
      <c r="K7" s="8">
        <f>(G7*(I7-1))^2</f>
        <v>36</v>
      </c>
      <c r="L7" s="8">
        <f>1-J7/K7</f>
        <v>0.9375</v>
      </c>
      <c r="M7" s="8">
        <f>I7/G7</f>
        <v>1</v>
      </c>
      <c r="N7" s="8">
        <f>((I7/(2*G7))^2+1)^0.5</f>
        <v>1.1180339887498949</v>
      </c>
      <c r="O7" s="8">
        <f>I7/(2*G7)</f>
        <v>0.5</v>
      </c>
      <c r="P7" s="8">
        <f>M7*(N7-O7)</f>
        <v>0.6180339887498949</v>
      </c>
      <c r="Q7" s="8">
        <f>1-P7</f>
        <v>0.3819660112501051</v>
      </c>
      <c r="R7" s="30">
        <f>L7*Q7</f>
        <v>0.35809313554697353</v>
      </c>
    </row>
    <row r="12" spans="3:18" x14ac:dyDescent="0.25">
      <c r="C12" s="1"/>
      <c r="D12" s="1"/>
      <c r="F12" s="1"/>
    </row>
    <row r="15" spans="3:18" x14ac:dyDescent="0.25">
      <c r="C15" s="1"/>
      <c r="D15" s="1"/>
      <c r="E15" s="1"/>
      <c r="G15" s="1"/>
      <c r="I15" s="1"/>
    </row>
    <row r="20" spans="5:5" ht="21" x14ac:dyDescent="0.35">
      <c r="E20" s="25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3073" r:id="rId4">
          <objectPr defaultSize="0" autoPict="0" r:id="rId5">
            <anchor moveWithCells="1" sizeWithCells="1">
              <from>
                <xdr:col>1</xdr:col>
                <xdr:colOff>381000</xdr:colOff>
                <xdr:row>20</xdr:row>
                <xdr:rowOff>9525</xdr:rowOff>
              </from>
              <to>
                <xdr:col>15</xdr:col>
                <xdr:colOff>180975</xdr:colOff>
                <xdr:row>28</xdr:row>
                <xdr:rowOff>47625</xdr:rowOff>
              </to>
            </anchor>
          </objectPr>
        </oleObject>
      </mc:Choice>
      <mc:Fallback>
        <oleObject progId="Equation.DSMT4" shapeId="3073" r:id="rId4"/>
      </mc:Fallback>
    </mc:AlternateContent>
    <mc:AlternateContent xmlns:mc="http://schemas.openxmlformats.org/markup-compatibility/2006">
      <mc:Choice Requires="x14">
        <oleObject progId="Equation.DSMT4" shapeId="3075" r:id="rId6">
          <objectPr defaultSize="0" autoPict="0" r:id="rId7">
            <anchor moveWithCells="1" sizeWithCells="1">
              <from>
                <xdr:col>3</xdr:col>
                <xdr:colOff>0</xdr:colOff>
                <xdr:row>29</xdr:row>
                <xdr:rowOff>161925</xdr:rowOff>
              </from>
              <to>
                <xdr:col>8</xdr:col>
                <xdr:colOff>152400</xdr:colOff>
                <xdr:row>33</xdr:row>
                <xdr:rowOff>171450</xdr:rowOff>
              </to>
            </anchor>
          </objectPr>
        </oleObject>
      </mc:Choice>
      <mc:Fallback>
        <oleObject progId="Equation.DSMT4" shapeId="3075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B859-C43B-4F44-BB14-F11BDF70BE18}">
  <dimension ref="F1:AA12"/>
  <sheetViews>
    <sheetView workbookViewId="0">
      <selection activeCell="D3" sqref="D3"/>
    </sheetView>
  </sheetViews>
  <sheetFormatPr defaultRowHeight="15" x14ac:dyDescent="0.25"/>
  <cols>
    <col min="9" max="9" width="11.42578125" bestFit="1" customWidth="1"/>
  </cols>
  <sheetData>
    <row r="1" spans="6:27" x14ac:dyDescent="0.25">
      <c r="F1" t="s">
        <v>24</v>
      </c>
      <c r="G1" t="s">
        <v>69</v>
      </c>
      <c r="H1" t="s">
        <v>70</v>
      </c>
      <c r="I1" t="s">
        <v>42</v>
      </c>
    </row>
    <row r="2" spans="6:27" ht="21" x14ac:dyDescent="0.35">
      <c r="F2" s="42">
        <v>0.02</v>
      </c>
      <c r="G2" s="42">
        <v>1</v>
      </c>
      <c r="H2">
        <f>G2/F2</f>
        <v>50</v>
      </c>
      <c r="I2" s="43">
        <f>ATAN(B)/pi</f>
        <v>0.49363465089902719</v>
      </c>
    </row>
    <row r="12" spans="6:27" x14ac:dyDescent="0.25">
      <c r="AA12">
        <f>0.35242*12.566/20</f>
        <v>0.221425486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98BE-DF0B-4657-AB88-2F521265B977}">
  <dimension ref="D2:V7"/>
  <sheetViews>
    <sheetView topLeftCell="A6" workbookViewId="0">
      <selection activeCell="I5" sqref="I5"/>
    </sheetView>
  </sheetViews>
  <sheetFormatPr defaultRowHeight="15" x14ac:dyDescent="0.25"/>
  <cols>
    <col min="9" max="9" width="18.85546875" customWidth="1"/>
  </cols>
  <sheetData>
    <row r="2" spans="4:22" x14ac:dyDescent="0.25">
      <c r="N2">
        <f>0.5*12.566/31.416</f>
        <v>0.19999363381716323</v>
      </c>
    </row>
    <row r="4" spans="4:22" x14ac:dyDescent="0.25">
      <c r="D4" t="s">
        <v>24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O4" t="s">
        <v>76</v>
      </c>
      <c r="U4">
        <f>(1/(2*20))*(30-(20^2+10^2)^0.5)</f>
        <v>0.19098300562505255</v>
      </c>
    </row>
    <row r="5" spans="4:22" ht="21" x14ac:dyDescent="0.35">
      <c r="D5" s="36">
        <v>10</v>
      </c>
      <c r="E5" s="36">
        <v>10</v>
      </c>
      <c r="F5" s="36">
        <v>0</v>
      </c>
      <c r="G5">
        <f>E5/D5</f>
        <v>1</v>
      </c>
      <c r="H5">
        <f>F5/D5</f>
        <v>0</v>
      </c>
      <c r="I5" s="44">
        <f>(1/(2*pi))*(ATAN(G5)-ATAN(E52))</f>
        <v>0.125</v>
      </c>
      <c r="K5">
        <f>0.25*12.566/20</f>
        <v>0.15707500000000002</v>
      </c>
      <c r="O5">
        <f>4*pi</f>
        <v>12.566370614359172</v>
      </c>
      <c r="S5">
        <f>0.125*12.566/10</f>
        <v>0.15707500000000002</v>
      </c>
      <c r="V5">
        <f>1-2*U4-0.15708</f>
        <v>0.46095398874989491</v>
      </c>
    </row>
    <row r="6" spans="4:22" x14ac:dyDescent="0.25">
      <c r="N6">
        <f>1-2*0.125-0.35242</f>
        <v>0.39757999999999999</v>
      </c>
      <c r="P6">
        <f>2*U4</f>
        <v>0.3819660112501051</v>
      </c>
    </row>
    <row r="7" spans="4:22" x14ac:dyDescent="0.25">
      <c r="V7">
        <f>V5*20/31.416</f>
        <v>0.29345173717207468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7317-5E9D-453A-BFE1-2146D3AE87E4}">
  <dimension ref="B1:M28"/>
  <sheetViews>
    <sheetView zoomScale="118" zoomScaleNormal="118" workbookViewId="0">
      <selection activeCell="M18" sqref="M18"/>
    </sheetView>
  </sheetViews>
  <sheetFormatPr defaultRowHeight="15" x14ac:dyDescent="0.25"/>
  <cols>
    <col min="13" max="13" width="21.140625" bestFit="1" customWidth="1"/>
  </cols>
  <sheetData>
    <row r="1" spans="2:13" x14ac:dyDescent="0.25">
      <c r="D1" t="s">
        <v>17</v>
      </c>
      <c r="E1">
        <f>4*ATAN(1)</f>
        <v>3.1415926535897931</v>
      </c>
    </row>
    <row r="4" spans="2:13" x14ac:dyDescent="0.25">
      <c r="B4" t="s">
        <v>163</v>
      </c>
      <c r="C4" s="1">
        <f>2*E1*E4*E6</f>
        <v>1.0471975511965976</v>
      </c>
      <c r="D4" t="s">
        <v>1</v>
      </c>
      <c r="E4" s="45">
        <v>0.5</v>
      </c>
      <c r="G4" t="s">
        <v>7</v>
      </c>
      <c r="H4">
        <f>E4/E5</f>
        <v>0.5</v>
      </c>
    </row>
    <row r="5" spans="2:13" x14ac:dyDescent="0.25">
      <c r="B5" t="s">
        <v>164</v>
      </c>
      <c r="C5" s="1">
        <f>E1*E5^2-E1*E4^2</f>
        <v>2.3561944901923448</v>
      </c>
      <c r="D5" t="s">
        <v>2</v>
      </c>
      <c r="E5" s="36">
        <v>1</v>
      </c>
      <c r="G5" t="s">
        <v>29</v>
      </c>
      <c r="H5">
        <f>E6/E5</f>
        <v>0.33333333333333331</v>
      </c>
    </row>
    <row r="6" spans="2:13" x14ac:dyDescent="0.25">
      <c r="D6" t="s">
        <v>28</v>
      </c>
      <c r="E6" s="36">
        <f>1/3</f>
        <v>0.33333333333333331</v>
      </c>
    </row>
    <row r="9" spans="2:13" x14ac:dyDescent="0.25">
      <c r="G9" t="s">
        <v>30</v>
      </c>
      <c r="H9">
        <f>H5^2+H4^2-1</f>
        <v>-0.63888888888888884</v>
      </c>
    </row>
    <row r="10" spans="2:13" x14ac:dyDescent="0.25">
      <c r="G10" t="s">
        <v>31</v>
      </c>
      <c r="H10">
        <f>H5^2-H4^2+1</f>
        <v>0.86111111111111116</v>
      </c>
    </row>
    <row r="13" spans="2:13" x14ac:dyDescent="0.25">
      <c r="E13" t="s">
        <v>14</v>
      </c>
      <c r="F13" t="s">
        <v>15</v>
      </c>
      <c r="G13" t="s">
        <v>32</v>
      </c>
      <c r="H13" t="s">
        <v>33</v>
      </c>
      <c r="I13" t="s">
        <v>34</v>
      </c>
      <c r="J13" t="s">
        <v>16</v>
      </c>
      <c r="K13" t="s">
        <v>21</v>
      </c>
      <c r="L13" t="s">
        <v>22</v>
      </c>
      <c r="M13" t="s">
        <v>27</v>
      </c>
    </row>
    <row r="14" spans="2:13" ht="21" x14ac:dyDescent="0.35">
      <c r="E14">
        <f>H10/(8*H4*H5)</f>
        <v>0.64583333333333337</v>
      </c>
      <c r="F14">
        <f>ACOS(H9/H10)</f>
        <v>2.4067488443501897</v>
      </c>
      <c r="G14">
        <f>-(1/(2*H5))</f>
        <v>-1.5</v>
      </c>
      <c r="H14">
        <f>(((H9+2)/H4)^2-4)^0.5</f>
        <v>1.8467522376216292</v>
      </c>
      <c r="I14">
        <f>ACOS(H9*H4/H10)</f>
        <v>1.9508472310732372</v>
      </c>
      <c r="J14">
        <f>G14*H14*I14</f>
        <v>-5.4040972338636903</v>
      </c>
      <c r="K14">
        <f>-(H9/(2*H4*H5))*ASIN(H4)</f>
        <v>1.0035643198967394</v>
      </c>
      <c r="L14">
        <f>(1/(2*E1))*(F14+J14+K14)</f>
        <v>-0.31732059013738312</v>
      </c>
      <c r="M14" s="46">
        <f>E14+L14</f>
        <v>0.32851274319595025</v>
      </c>
    </row>
    <row r="17" spans="9:13" x14ac:dyDescent="0.25">
      <c r="M17" t="s">
        <v>162</v>
      </c>
    </row>
    <row r="18" spans="9:13" ht="21" x14ac:dyDescent="0.35">
      <c r="M18" s="46">
        <f>M14*C4/C5</f>
        <v>0.14600566364264456</v>
      </c>
    </row>
    <row r="21" spans="9:13" x14ac:dyDescent="0.25">
      <c r="L21" t="s">
        <v>165</v>
      </c>
      <c r="M21" s="32">
        <v>0.19772202663257449</v>
      </c>
    </row>
    <row r="23" spans="9:13" x14ac:dyDescent="0.25">
      <c r="I23">
        <f>0.09172*1.9/1</f>
        <v>0.17426799999999998</v>
      </c>
      <c r="L23" t="s">
        <v>166</v>
      </c>
      <c r="M23">
        <v>0.14600566364264456</v>
      </c>
    </row>
    <row r="25" spans="9:13" x14ac:dyDescent="0.25">
      <c r="L25" t="s">
        <v>167</v>
      </c>
      <c r="M25" s="32">
        <f>M21-M23</f>
        <v>5.1716362989929932E-2</v>
      </c>
    </row>
    <row r="26" spans="9:13" x14ac:dyDescent="0.25">
      <c r="I26">
        <f>0.17474-0.174268</f>
        <v>4.720000000000002E-4</v>
      </c>
    </row>
    <row r="27" spans="9:13" x14ac:dyDescent="0.25">
      <c r="I27">
        <f>I26*1/0.25</f>
        <v>1.8880000000000008E-3</v>
      </c>
    </row>
    <row r="28" spans="9:13" x14ac:dyDescent="0.25">
      <c r="I28">
        <f>1-I27-0.819</f>
        <v>0.17911200000000005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39C5-88C6-4DDF-9D6E-FA162C942C05}">
  <dimension ref="C4:H5"/>
  <sheetViews>
    <sheetView workbookViewId="0">
      <selection activeCell="H5" sqref="H5"/>
    </sheetView>
  </sheetViews>
  <sheetFormatPr defaultRowHeight="15" x14ac:dyDescent="0.25"/>
  <cols>
    <col min="8" max="8" width="28.28515625" customWidth="1"/>
  </cols>
  <sheetData>
    <row r="4" spans="3:8" x14ac:dyDescent="0.25">
      <c r="C4" s="7" t="s">
        <v>28</v>
      </c>
      <c r="D4" s="7" t="s">
        <v>111</v>
      </c>
      <c r="E4" s="7" t="s">
        <v>29</v>
      </c>
      <c r="F4" s="7" t="s">
        <v>119</v>
      </c>
      <c r="G4" s="7" t="s">
        <v>120</v>
      </c>
      <c r="H4" s="7" t="s">
        <v>121</v>
      </c>
    </row>
    <row r="5" spans="3:8" ht="21" x14ac:dyDescent="0.25">
      <c r="C5" s="11">
        <v>0.5</v>
      </c>
      <c r="D5" s="11">
        <v>1</v>
      </c>
      <c r="E5" s="7">
        <f>0.5*C5/D5</f>
        <v>0.25</v>
      </c>
      <c r="F5" s="7">
        <f>1+E5</f>
        <v>1.25</v>
      </c>
      <c r="G5" s="7">
        <f>1+E5^2</f>
        <v>1.0625</v>
      </c>
      <c r="H5" s="16">
        <f>F5-G5^0.5</f>
        <v>0.21922359359558485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C4D6-BD58-49EE-AEA1-ECEE3445662E}">
  <dimension ref="C4:G19"/>
  <sheetViews>
    <sheetView workbookViewId="0">
      <selection activeCell="D6" sqref="D6"/>
    </sheetView>
  </sheetViews>
  <sheetFormatPr defaultRowHeight="15" x14ac:dyDescent="0.25"/>
  <cols>
    <col min="7" max="7" width="23.28515625" customWidth="1"/>
  </cols>
  <sheetData>
    <row r="4" spans="3:7" x14ac:dyDescent="0.25">
      <c r="C4" t="s">
        <v>35</v>
      </c>
      <c r="D4" s="3">
        <v>0.5</v>
      </c>
      <c r="F4" t="s">
        <v>7</v>
      </c>
      <c r="G4">
        <f>D5/D4</f>
        <v>2</v>
      </c>
    </row>
    <row r="5" spans="3:7" x14ac:dyDescent="0.25">
      <c r="C5" t="s">
        <v>36</v>
      </c>
      <c r="D5" s="3">
        <v>1</v>
      </c>
      <c r="F5" t="s">
        <v>29</v>
      </c>
      <c r="G5">
        <f>D6/D4</f>
        <v>0.66666666666666663</v>
      </c>
    </row>
    <row r="6" spans="3:7" x14ac:dyDescent="0.25">
      <c r="C6" t="s">
        <v>28</v>
      </c>
      <c r="D6" s="3">
        <f>1/3</f>
        <v>0.33333333333333331</v>
      </c>
    </row>
    <row r="9" spans="3:7" x14ac:dyDescent="0.25">
      <c r="C9" t="s">
        <v>37</v>
      </c>
      <c r="D9">
        <f>1-G4^2-G5^2</f>
        <v>-3.4444444444444446</v>
      </c>
    </row>
    <row r="10" spans="3:7" x14ac:dyDescent="0.25">
      <c r="C10" t="s">
        <v>38</v>
      </c>
      <c r="D10">
        <f>1+G4^2+G5^2</f>
        <v>5.4444444444444446</v>
      </c>
    </row>
    <row r="11" spans="3:7" x14ac:dyDescent="0.25">
      <c r="C11" t="s">
        <v>39</v>
      </c>
      <c r="D11">
        <f>4*G4^2</f>
        <v>16</v>
      </c>
    </row>
    <row r="14" spans="3:7" x14ac:dyDescent="0.25">
      <c r="E14" t="s">
        <v>40</v>
      </c>
      <c r="F14" t="s">
        <v>41</v>
      </c>
      <c r="G14" t="s">
        <v>42</v>
      </c>
    </row>
    <row r="15" spans="3:7" x14ac:dyDescent="0.25">
      <c r="E15">
        <f>D9</f>
        <v>-3.4444444444444446</v>
      </c>
      <c r="F15">
        <f>(D10^2-D11)^0.5</f>
        <v>3.6935044752432584</v>
      </c>
      <c r="G15" s="5">
        <f>0.5*(E15+F15)</f>
        <v>0.12453001539940689</v>
      </c>
    </row>
    <row r="18" spans="7:7" x14ac:dyDescent="0.25">
      <c r="G18">
        <v>0.98795005781799006</v>
      </c>
    </row>
    <row r="19" spans="7:7" x14ac:dyDescent="0.25">
      <c r="G19">
        <f>G18-G15</f>
        <v>0.86342004241858317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84C6-674D-4CB5-B4FE-6CF4E5B881CF}">
  <dimension ref="B4:W12"/>
  <sheetViews>
    <sheetView workbookViewId="0">
      <selection activeCell="G11" sqref="G11"/>
    </sheetView>
  </sheetViews>
  <sheetFormatPr defaultRowHeight="15" x14ac:dyDescent="0.25"/>
  <cols>
    <col min="18" max="18" width="23.28515625" customWidth="1"/>
  </cols>
  <sheetData>
    <row r="4" spans="2:23" x14ac:dyDescent="0.25">
      <c r="B4" s="7" t="s">
        <v>109</v>
      </c>
      <c r="C4" s="7" t="s">
        <v>110</v>
      </c>
      <c r="D4" s="7" t="s">
        <v>111</v>
      </c>
      <c r="E4" s="7" t="s">
        <v>112</v>
      </c>
      <c r="F4" s="7" t="s">
        <v>87</v>
      </c>
      <c r="G4" s="7" t="s">
        <v>113</v>
      </c>
      <c r="H4" s="7" t="s">
        <v>122</v>
      </c>
      <c r="I4" s="7" t="s">
        <v>123</v>
      </c>
      <c r="J4" s="7" t="s">
        <v>114</v>
      </c>
      <c r="K4" s="7" t="s">
        <v>115</v>
      </c>
      <c r="L4" s="7" t="s">
        <v>117</v>
      </c>
      <c r="M4" s="7" t="s">
        <v>116</v>
      </c>
      <c r="N4" s="7" t="s">
        <v>85</v>
      </c>
      <c r="O4" s="7" t="s">
        <v>48</v>
      </c>
      <c r="P4" s="7" t="s">
        <v>49</v>
      </c>
      <c r="Q4" s="7" t="s">
        <v>118</v>
      </c>
      <c r="R4" s="7" t="s">
        <v>42</v>
      </c>
      <c r="S4" s="7" t="s">
        <v>107</v>
      </c>
      <c r="T4" s="7"/>
      <c r="U4" s="7"/>
      <c r="V4" s="7"/>
      <c r="W4" s="7"/>
    </row>
    <row r="5" spans="2:23" ht="21" x14ac:dyDescent="0.25">
      <c r="B5" s="11">
        <v>1</v>
      </c>
      <c r="C5" s="11">
        <v>10</v>
      </c>
      <c r="D5" s="11">
        <v>1</v>
      </c>
      <c r="E5" s="7">
        <f>B5/D5</f>
        <v>1</v>
      </c>
      <c r="F5" s="7">
        <f>C5/D5</f>
        <v>10</v>
      </c>
      <c r="G5" s="7">
        <f>(E5+F5)^2</f>
        <v>121</v>
      </c>
      <c r="H5" s="7">
        <f>1+E5^2</f>
        <v>2</v>
      </c>
      <c r="I5" s="7">
        <f>1+F5^2</f>
        <v>101</v>
      </c>
      <c r="J5" s="7">
        <f>4+E5^2</f>
        <v>5</v>
      </c>
      <c r="K5" s="7">
        <f>4+F5^2</f>
        <v>104</v>
      </c>
      <c r="L5" s="7">
        <f>F5/E5</f>
        <v>10</v>
      </c>
      <c r="M5" s="7">
        <f>1+F5/E5</f>
        <v>11</v>
      </c>
      <c r="N5" s="34">
        <f>F5/2</f>
        <v>5</v>
      </c>
      <c r="O5" s="7">
        <f>J5^0.5</f>
        <v>2.2360679774997898</v>
      </c>
      <c r="P5">
        <f>L5*K5^0.5</f>
        <v>101.9803902718557</v>
      </c>
      <c r="Q5" s="7">
        <f>-(M5*(4+G5)^0.5)</f>
        <v>-122.98373876248844</v>
      </c>
      <c r="R5" s="16">
        <f>N5+0.25*(O5+P5+Q5)</f>
        <v>0.30817987171676009</v>
      </c>
      <c r="S5" s="7">
        <f>R5*B5/C5</f>
        <v>3.0817987171676008E-2</v>
      </c>
      <c r="T5" s="7"/>
      <c r="U5" s="7"/>
    </row>
    <row r="8" spans="2:23" x14ac:dyDescent="0.25">
      <c r="R8">
        <v>0.30837650320773946</v>
      </c>
    </row>
    <row r="9" spans="2:23" x14ac:dyDescent="0.25">
      <c r="R9" s="24">
        <f>R8-R5</f>
        <v>1.9663149097937094E-4</v>
      </c>
    </row>
    <row r="10" spans="2:23" ht="21" x14ac:dyDescent="0.25">
      <c r="R10" s="16">
        <v>0.30837650320773946</v>
      </c>
    </row>
    <row r="11" spans="2:23" x14ac:dyDescent="0.25">
      <c r="R11" s="24">
        <f>R5-R10</f>
        <v>-1.9663149097937094E-4</v>
      </c>
    </row>
    <row r="12" spans="2:23" x14ac:dyDescent="0.25">
      <c r="R12" s="24">
        <f>R10-R5</f>
        <v>1.9663149097937094E-4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3FD2-D613-4C9F-A9AE-19B26AED6DF8}">
  <dimension ref="D3:M15"/>
  <sheetViews>
    <sheetView topLeftCell="C7" workbookViewId="0">
      <selection activeCell="K13" sqref="K13"/>
    </sheetView>
  </sheetViews>
  <sheetFormatPr defaultRowHeight="15" x14ac:dyDescent="0.25"/>
  <cols>
    <col min="8" max="8" width="11.42578125" bestFit="1" customWidth="1"/>
  </cols>
  <sheetData>
    <row r="3" spans="4:13" x14ac:dyDescent="0.25">
      <c r="D3">
        <f>4*ATAN(1)</f>
        <v>3.1415926535897931</v>
      </c>
    </row>
    <row r="6" spans="4:13" x14ac:dyDescent="0.25">
      <c r="E6" t="s">
        <v>35</v>
      </c>
      <c r="F6" t="s">
        <v>36</v>
      </c>
      <c r="G6" t="s">
        <v>28</v>
      </c>
      <c r="H6" t="s">
        <v>53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</row>
    <row r="7" spans="4:13" x14ac:dyDescent="0.25">
      <c r="E7" s="3">
        <v>0.5</v>
      </c>
      <c r="F7" s="3">
        <v>1</v>
      </c>
      <c r="G7" s="3">
        <v>0.1</v>
      </c>
      <c r="H7">
        <f>E7/G7</f>
        <v>5</v>
      </c>
      <c r="I7">
        <f>F7/G7</f>
        <v>10</v>
      </c>
      <c r="J7">
        <f>I7-H7</f>
        <v>5</v>
      </c>
      <c r="K7">
        <f>H7/I7</f>
        <v>0.5</v>
      </c>
      <c r="L7">
        <f>1+4*I7^2</f>
        <v>401</v>
      </c>
      <c r="M7">
        <f>I7^2-H7^2</f>
        <v>75</v>
      </c>
    </row>
    <row r="10" spans="4:13" x14ac:dyDescent="0.25">
      <c r="F10" t="s">
        <v>61</v>
      </c>
      <c r="G10" t="s">
        <v>49</v>
      </c>
      <c r="H10" t="s">
        <v>54</v>
      </c>
      <c r="I10" t="s">
        <v>55</v>
      </c>
      <c r="J10" t="s">
        <v>62</v>
      </c>
      <c r="K10" t="s">
        <v>50</v>
      </c>
      <c r="L10" t="s">
        <v>62</v>
      </c>
      <c r="M10" t="s">
        <v>63</v>
      </c>
    </row>
    <row r="11" spans="4:13" x14ac:dyDescent="0.25">
      <c r="F11">
        <f>pi*J7</f>
        <v>15.707963267948966</v>
      </c>
      <c r="G11">
        <f>ACOS(K7)</f>
        <v>1.0471975511965976</v>
      </c>
      <c r="H11">
        <f>(L7*M7)^0.5</f>
        <v>173.42145196024626</v>
      </c>
      <c r="I11">
        <f>H7</f>
        <v>5</v>
      </c>
      <c r="J11">
        <f>H11/I11</f>
        <v>34.684290392049249</v>
      </c>
      <c r="K11">
        <f>-(L7^0.5)*ATAN(J11)</f>
        <v>-30.877981557213516</v>
      </c>
      <c r="L11">
        <f>2*M7^0.5</f>
        <v>17.320508075688775</v>
      </c>
      <c r="M11">
        <f>2*H7*ATAN(L11)</f>
        <v>15.131253219104707</v>
      </c>
    </row>
    <row r="14" spans="4:13" x14ac:dyDescent="0.25">
      <c r="F14" t="s">
        <v>54</v>
      </c>
      <c r="G14" t="s">
        <v>55</v>
      </c>
      <c r="H14" t="s">
        <v>77</v>
      </c>
    </row>
    <row r="15" spans="4:13" ht="21" x14ac:dyDescent="0.35">
      <c r="F15">
        <f>F11+G11+K11+M11</f>
        <v>1.0084324810367526</v>
      </c>
      <c r="G15">
        <f>pi*I7</f>
        <v>31.415926535897931</v>
      </c>
      <c r="H15" s="6">
        <f>F15/G15</f>
        <v>3.2099402826284637E-2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538B-B820-495A-94C5-7E9EC6E5D520}">
  <dimension ref="D2:Q23"/>
  <sheetViews>
    <sheetView tabSelected="1" workbookViewId="0">
      <selection activeCell="J20" sqref="J20:K25"/>
    </sheetView>
  </sheetViews>
  <sheetFormatPr defaultRowHeight="15" x14ac:dyDescent="0.25"/>
  <cols>
    <col min="6" max="6" width="9.5703125" customWidth="1"/>
    <col min="8" max="8" width="11" bestFit="1" customWidth="1"/>
    <col min="10" max="10" width="10.5703125" bestFit="1" customWidth="1"/>
    <col min="14" max="14" width="16.5703125" customWidth="1"/>
    <col min="16" max="16" width="8.85546875" customWidth="1"/>
    <col min="17" max="17" width="16.28515625" bestFit="1" customWidth="1"/>
  </cols>
  <sheetData>
    <row r="2" spans="4:17" x14ac:dyDescent="0.25">
      <c r="E2" t="s">
        <v>17</v>
      </c>
      <c r="F2">
        <f>4*ATAN(1)</f>
        <v>3.1415926535897931</v>
      </c>
    </row>
    <row r="4" spans="4:17" x14ac:dyDescent="0.25">
      <c r="E4" t="s">
        <v>1</v>
      </c>
      <c r="F4" s="42">
        <v>0.5</v>
      </c>
    </row>
    <row r="5" spans="4:17" x14ac:dyDescent="0.25">
      <c r="E5" t="s">
        <v>2</v>
      </c>
      <c r="F5" s="42">
        <v>1</v>
      </c>
      <c r="G5" t="s">
        <v>7</v>
      </c>
      <c r="H5">
        <f>F4/F5</f>
        <v>0.5</v>
      </c>
    </row>
    <row r="6" spans="4:17" x14ac:dyDescent="0.25">
      <c r="E6" t="s">
        <v>3</v>
      </c>
      <c r="F6" s="47">
        <f>1/3</f>
        <v>0.33333333333333331</v>
      </c>
      <c r="G6" t="s">
        <v>8</v>
      </c>
      <c r="H6" s="1">
        <f>F6/F5</f>
        <v>0.33333333333333331</v>
      </c>
    </row>
    <row r="7" spans="4:17" x14ac:dyDescent="0.25">
      <c r="E7" t="s">
        <v>0</v>
      </c>
      <c r="F7" s="47">
        <f>F6</f>
        <v>0.33333333333333331</v>
      </c>
      <c r="G7" t="s">
        <v>6</v>
      </c>
      <c r="H7">
        <f>F7/F5</f>
        <v>0.33333333333333331</v>
      </c>
    </row>
    <row r="8" spans="4:17" x14ac:dyDescent="0.25">
      <c r="E8" t="s">
        <v>4</v>
      </c>
      <c r="F8" s="47">
        <f>F7</f>
        <v>0.33333333333333331</v>
      </c>
      <c r="G8" t="s">
        <v>9</v>
      </c>
      <c r="H8">
        <f>F8/F5</f>
        <v>0.33333333333333331</v>
      </c>
    </row>
    <row r="12" spans="4:17" x14ac:dyDescent="0.25">
      <c r="E12" t="s">
        <v>5</v>
      </c>
      <c r="F12" t="s">
        <v>12</v>
      </c>
      <c r="G12" t="s">
        <v>13</v>
      </c>
      <c r="H12" t="s">
        <v>14</v>
      </c>
      <c r="I12" t="s">
        <v>15</v>
      </c>
      <c r="J12" t="s">
        <v>18</v>
      </c>
      <c r="K12" t="s">
        <v>19</v>
      </c>
      <c r="L12" t="s">
        <v>20</v>
      </c>
      <c r="M12" t="s">
        <v>16</v>
      </c>
      <c r="N12" t="s">
        <v>21</v>
      </c>
      <c r="O12" t="s">
        <v>22</v>
      </c>
      <c r="P12" t="s">
        <v>23</v>
      </c>
    </row>
    <row r="13" spans="4:17" x14ac:dyDescent="0.25">
      <c r="D13" t="s">
        <v>8</v>
      </c>
      <c r="E13" s="1">
        <f>H6</f>
        <v>0.33333333333333331</v>
      </c>
      <c r="F13" s="1">
        <f>E13^2+$H$5^2-1</f>
        <v>-0.63888888888888884</v>
      </c>
      <c r="G13" s="1">
        <f>E13^2-$H$5^2+1</f>
        <v>0.86111111111111116</v>
      </c>
      <c r="H13" s="1">
        <f>G13/(8*$H$5*E13)</f>
        <v>0.64583333333333337</v>
      </c>
      <c r="I13">
        <f>ACOS(F13/G13)</f>
        <v>2.4067488443501897</v>
      </c>
      <c r="J13" s="1">
        <f>-1/(2*E13)</f>
        <v>-1.5</v>
      </c>
      <c r="K13" s="1">
        <f>(((F13+2)/$H$5)^2-4)^0.5</f>
        <v>1.8467522376216292</v>
      </c>
      <c r="L13">
        <f>ACOS(F13*$H$5/G13)</f>
        <v>1.9508472310732372</v>
      </c>
      <c r="M13" s="1">
        <f>J13*K13*L13</f>
        <v>-5.4040972338636903</v>
      </c>
      <c r="N13">
        <f>-(F13/(2*E13*$H$5))*ASIN($H$5)</f>
        <v>1.0035643198967394</v>
      </c>
      <c r="O13" s="1">
        <f>(1/(2*$F$2))*(I13+M13+N13)</f>
        <v>-0.31732059013738312</v>
      </c>
      <c r="P13" s="1">
        <f>H13+O13</f>
        <v>0.32851274319595025</v>
      </c>
      <c r="Q13" s="1">
        <f>(E13/$H$7)*P13</f>
        <v>0.32851274319595025</v>
      </c>
    </row>
    <row r="14" spans="4:17" x14ac:dyDescent="0.25">
      <c r="D14" t="s">
        <v>9</v>
      </c>
      <c r="E14">
        <f>H8</f>
        <v>0.33333333333333331</v>
      </c>
      <c r="F14" s="1">
        <f>E14^2+$H$5^2-1</f>
        <v>-0.63888888888888884</v>
      </c>
      <c r="G14" s="1">
        <f>E14^2-$H$5^2+1</f>
        <v>0.86111111111111116</v>
      </c>
      <c r="H14" s="1">
        <f>G14/(8*$H$5*E14)</f>
        <v>0.64583333333333337</v>
      </c>
      <c r="I14">
        <f>ACOS(F14/G14)</f>
        <v>2.4067488443501897</v>
      </c>
      <c r="J14" s="1">
        <f>-1/(2*E14)</f>
        <v>-1.5</v>
      </c>
      <c r="K14" s="1">
        <f>(((F14+2)/$H$5)^2-4)^0.5</f>
        <v>1.8467522376216292</v>
      </c>
      <c r="L14">
        <f>ACOS(F14*$H$5/G14)</f>
        <v>1.9508472310732372</v>
      </c>
      <c r="M14" s="1">
        <f>J14*K14*L14</f>
        <v>-5.4040972338636903</v>
      </c>
      <c r="N14">
        <f>-(F14/(2*E14*$H$5))*ASIN($H$5)</f>
        <v>1.0035643198967394</v>
      </c>
      <c r="O14" s="1">
        <f>(1/(2*$F$2))*(I14+M14+N14)</f>
        <v>-0.31732059013738312</v>
      </c>
      <c r="P14" s="1">
        <f>H14+O14</f>
        <v>0.32851274319595025</v>
      </c>
      <c r="Q14" s="1">
        <f>(E14/$H$7)*P14</f>
        <v>0.32851274319595025</v>
      </c>
    </row>
    <row r="15" spans="4:17" x14ac:dyDescent="0.25">
      <c r="D15" t="s">
        <v>10</v>
      </c>
      <c r="E15">
        <f>H7+H6</f>
        <v>0.66666666666666663</v>
      </c>
      <c r="F15" s="1">
        <f>E15^2+$H$5^2-1</f>
        <v>-0.30555555555555558</v>
      </c>
      <c r="G15" s="1">
        <f>E15^2-$H$5^2+1</f>
        <v>1.1944444444444444</v>
      </c>
      <c r="H15" s="1">
        <f>G15/(8*$H$5*E15)</f>
        <v>0.44791666666666669</v>
      </c>
      <c r="I15">
        <f>ACOS(F15/G15)</f>
        <v>1.8294859054691137</v>
      </c>
      <c r="J15" s="1">
        <f>-1/(2*E15)</f>
        <v>-0.75</v>
      </c>
      <c r="K15" s="1">
        <f>(((F15+2)/$H$5)^2-4)^0.5</f>
        <v>2.7357938338322514</v>
      </c>
      <c r="L15">
        <f>ACOS(F15*$H$5/G15)</f>
        <v>1.6990546602954497</v>
      </c>
      <c r="M15" s="1">
        <f>J15*K15*L15</f>
        <v>-3.486197447235182</v>
      </c>
      <c r="N15">
        <f>-(F15/(2*E15*$H$5))*ASIN($H$5)</f>
        <v>0.23998277214922037</v>
      </c>
      <c r="O15" s="1">
        <f>(1/(2*$F$2))*(I15+M15+N15)</f>
        <v>-0.22547938670502035</v>
      </c>
      <c r="P15" s="1">
        <f>H15+O15</f>
        <v>0.22243727996164633</v>
      </c>
      <c r="Q15" s="1">
        <f>(E15/$H$7)*P15</f>
        <v>0.44487455992329267</v>
      </c>
    </row>
    <row r="16" spans="4:17" x14ac:dyDescent="0.25">
      <c r="D16" t="s">
        <v>11</v>
      </c>
      <c r="E16">
        <f>H7+H8</f>
        <v>0.66666666666666663</v>
      </c>
      <c r="F16" s="1">
        <f>E16^2+$H$5^2-1</f>
        <v>-0.30555555555555558</v>
      </c>
      <c r="G16" s="1">
        <f>E16^2-$H$5^2+1</f>
        <v>1.1944444444444444</v>
      </c>
      <c r="H16" s="1">
        <f>G16/(8*$H$5*E16)</f>
        <v>0.44791666666666669</v>
      </c>
      <c r="I16">
        <f>ACOS(F16/G16)</f>
        <v>1.8294859054691137</v>
      </c>
      <c r="J16" s="1">
        <f>-1/(2*E16)</f>
        <v>-0.75</v>
      </c>
      <c r="K16" s="1">
        <f>(((F16+2)/$H$5)^2-4)^0.5</f>
        <v>2.7357938338322514</v>
      </c>
      <c r="L16">
        <f>ACOS(F16*$H$5/G16)</f>
        <v>1.6990546602954497</v>
      </c>
      <c r="M16" s="1">
        <f>J16*K16*L16</f>
        <v>-3.486197447235182</v>
      </c>
      <c r="N16">
        <f>-(F16/(2*E16*$H$5))*ASIN($H$5)</f>
        <v>0.23998277214922037</v>
      </c>
      <c r="O16" s="1">
        <f>(1/(2*$F$2))*(I16+M16+N16)</f>
        <v>-0.22547938670502035</v>
      </c>
      <c r="P16" s="1">
        <f>H16+O16</f>
        <v>0.22243727996164633</v>
      </c>
      <c r="Q16" s="1">
        <f>(E16/$H$7)*P16</f>
        <v>0.44487455992329267</v>
      </c>
    </row>
    <row r="18" spans="10:17" ht="21" x14ac:dyDescent="0.35">
      <c r="P18" t="s">
        <v>43</v>
      </c>
      <c r="Q18" s="48">
        <f>1+Q13+Q14-Q15-Q16</f>
        <v>0.76727636654531528</v>
      </c>
    </row>
    <row r="23" spans="10:17" x14ac:dyDescent="0.25">
      <c r="J23" s="24">
        <f>(1-Q18)/2</f>
        <v>0.11636181672734236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B3</vt:lpstr>
      <vt:lpstr>B31</vt:lpstr>
      <vt:lpstr>C11</vt:lpstr>
      <vt:lpstr>C12</vt:lpstr>
      <vt:lpstr>C12a</vt:lpstr>
      <vt:lpstr>C14</vt:lpstr>
      <vt:lpstr>C41</vt:lpstr>
      <vt:lpstr>C53</vt:lpstr>
      <vt:lpstr>C53a</vt:lpstr>
      <vt:lpstr>C61</vt:lpstr>
      <vt:lpstr>C62</vt:lpstr>
      <vt:lpstr>C77</vt:lpstr>
      <vt:lpstr>C78</vt:lpstr>
      <vt:lpstr>C80</vt:lpstr>
      <vt:lpstr>C86</vt:lpstr>
      <vt:lpstr>C91</vt:lpstr>
      <vt:lpstr>C95</vt:lpstr>
      <vt:lpstr>A</vt:lpstr>
      <vt:lpstr>AA</vt:lpstr>
      <vt:lpstr>B</vt:lpstr>
      <vt:lpstr>BB</vt:lpstr>
      <vt:lpstr>LL</vt:lpstr>
      <vt:lpstr>pi</vt:lpstr>
      <vt:lpstr>rrr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Cumber, Peter S</cp:lastModifiedBy>
  <dcterms:created xsi:type="dcterms:W3CDTF">2020-04-27T16:37:21Z</dcterms:created>
  <dcterms:modified xsi:type="dcterms:W3CDTF">2023-09-20T11:59:31Z</dcterms:modified>
</cp:coreProperties>
</file>