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ocuments\Curso Excel\"/>
    </mc:Choice>
  </mc:AlternateContent>
  <xr:revisionPtr revIDLastSave="0" documentId="13_ncr:1_{29B07379-D9B4-45DF-9A5C-E200943C2B35}" xr6:coauthVersionLast="47" xr6:coauthVersionMax="47" xr10:uidLastSave="{00000000-0000-0000-0000-000000000000}"/>
  <bookViews>
    <workbookView xWindow="-120" yWindow="-120" windowWidth="29040" windowHeight="15720" firstSheet="6" activeTab="10" xr2:uid="{00000000-000D-0000-FFFF-FFFF00000000}"/>
  </bookViews>
  <sheets>
    <sheet name="1° Data M" sheetId="1" r:id="rId1"/>
    <sheet name="2° Esq Direita" sheetId="2" r:id="rId2"/>
    <sheet name="3° Procv" sheetId="3" r:id="rId3"/>
    <sheet name="4° Procv2" sheetId="4" r:id="rId4"/>
    <sheet name="5°proch" sheetId="5" r:id="rId5"/>
    <sheet name="6°Proch2" sheetId="6" r:id="rId6"/>
    <sheet name="7°Procv,Proch,ProcX" sheetId="7" r:id="rId7"/>
    <sheet name="8°Cont.se.Soma.se" sheetId="8" r:id="rId8"/>
    <sheet name="9. Cont.ses soma.ses" sheetId="9" r:id="rId9"/>
    <sheet name="10° formatação condicional" sheetId="10" r:id="rId10"/>
    <sheet name="Planilha10" sheetId="11" r:id="rId11"/>
  </sheets>
  <definedNames>
    <definedName name="_xlnm._FilterDatabase" localSheetId="9" hidden="1">'10° formatação condicional'!$F$2:$F$21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0" l="1"/>
  <c r="F21" i="10"/>
  <c r="H21" i="10" s="1"/>
  <c r="I21" i="10" s="1"/>
  <c r="J21" i="10" s="1"/>
  <c r="F20" i="10"/>
  <c r="H3" i="10" s="1"/>
  <c r="I3" i="10" s="1"/>
  <c r="J3" i="10" s="1"/>
  <c r="H20" i="10"/>
  <c r="I20" i="10" s="1"/>
  <c r="J20" i="10" s="1"/>
  <c r="G20" i="10"/>
  <c r="F7" i="10"/>
  <c r="F4" i="10"/>
  <c r="F6" i="10"/>
  <c r="H17" i="10" s="1"/>
  <c r="I17" i="10" s="1"/>
  <c r="J17" i="10" s="1"/>
  <c r="F9" i="10"/>
  <c r="F8" i="10"/>
  <c r="H15" i="10" s="1"/>
  <c r="I15" i="10" s="1"/>
  <c r="J15" i="10" s="1"/>
  <c r="F16" i="10"/>
  <c r="F14" i="10"/>
  <c r="G9" i="10" s="1"/>
  <c r="F5" i="10"/>
  <c r="F13" i="10"/>
  <c r="F11" i="10"/>
  <c r="F12" i="10"/>
  <c r="H11" i="10" s="1"/>
  <c r="I11" i="10" s="1"/>
  <c r="J11" i="10" s="1"/>
  <c r="F15" i="10"/>
  <c r="F10" i="10"/>
  <c r="H13" i="10" s="1"/>
  <c r="I13" i="10" s="1"/>
  <c r="J13" i="10" s="1"/>
  <c r="F17" i="10"/>
  <c r="F18" i="10"/>
  <c r="F19" i="10"/>
  <c r="H4" i="10" s="1"/>
  <c r="I4" i="10" s="1"/>
  <c r="J4" i="10" s="1"/>
  <c r="P2" i="10"/>
  <c r="P3" i="10" s="1"/>
  <c r="J16" i="9"/>
  <c r="J8" i="9"/>
  <c r="H7" i="10" l="1"/>
  <c r="I7" i="10" s="1"/>
  <c r="J7" i="10" s="1"/>
  <c r="G18" i="10"/>
  <c r="G16" i="10"/>
  <c r="G5" i="10"/>
  <c r="H8" i="10"/>
  <c r="I8" i="10" s="1"/>
  <c r="J8" i="10" s="1"/>
  <c r="G6" i="10"/>
  <c r="G19" i="10"/>
  <c r="G12" i="10"/>
  <c r="H14" i="10"/>
  <c r="I14" i="10" s="1"/>
  <c r="J14" i="10" s="1"/>
  <c r="H10" i="10"/>
  <c r="I10" i="10" s="1"/>
  <c r="J10" i="10" s="1"/>
  <c r="G8" i="10"/>
  <c r="H12" i="10"/>
  <c r="I12" i="10" s="1"/>
  <c r="J12" i="10" s="1"/>
  <c r="H9" i="10"/>
  <c r="I9" i="10" s="1"/>
  <c r="J9" i="10" s="1"/>
  <c r="G7" i="10"/>
  <c r="H16" i="10"/>
  <c r="I16" i="10" s="1"/>
  <c r="J16" i="10" s="1"/>
  <c r="G17" i="10"/>
  <c r="H5" i="10"/>
  <c r="I5" i="10" s="1"/>
  <c r="J5" i="10" s="1"/>
  <c r="H6" i="10"/>
  <c r="I6" i="10" s="1"/>
  <c r="J6" i="10" s="1"/>
  <c r="G11" i="10"/>
  <c r="H18" i="10"/>
  <c r="I18" i="10" s="1"/>
  <c r="J18" i="10" s="1"/>
  <c r="G15" i="10"/>
  <c r="G21" i="10"/>
  <c r="G13" i="10"/>
  <c r="G14" i="10"/>
  <c r="G10" i="10"/>
  <c r="H19" i="10"/>
  <c r="I19" i="10" s="1"/>
  <c r="J19" i="10" s="1"/>
  <c r="A14" i="10"/>
  <c r="A12" i="10"/>
  <c r="A19" i="10"/>
  <c r="A18" i="10"/>
  <c r="P4" i="10"/>
  <c r="A21" i="10" s="1"/>
  <c r="A20" i="10"/>
  <c r="A10" i="10"/>
  <c r="A9" i="10"/>
  <c r="A16" i="10"/>
  <c r="A3" i="10"/>
  <c r="G4" i="10"/>
  <c r="A7" i="10" l="1"/>
  <c r="A6" i="10"/>
  <c r="A4" i="10"/>
  <c r="A15" i="10"/>
  <c r="A17" i="10"/>
  <c r="A13" i="10"/>
  <c r="A11" i="10"/>
  <c r="H16" i="8"/>
  <c r="H8" i="8"/>
  <c r="Q19" i="7"/>
  <c r="N8" i="7"/>
  <c r="C16" i="6"/>
  <c r="C13" i="6"/>
  <c r="F16" i="5"/>
  <c r="F15" i="5"/>
  <c r="F14" i="5"/>
  <c r="F13" i="5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H15" i="4"/>
  <c r="C15" i="4"/>
  <c r="D15" i="4"/>
  <c r="E15" i="4"/>
  <c r="F15" i="4"/>
  <c r="G15" i="4"/>
  <c r="B15" i="4"/>
  <c r="M9" i="3"/>
  <c r="M8" i="3"/>
  <c r="C24" i="2"/>
  <c r="C16" i="2"/>
  <c r="C17" i="2"/>
  <c r="C15" i="2"/>
  <c r="D16" i="2"/>
  <c r="D17" i="2"/>
  <c r="D15" i="2"/>
  <c r="D6" i="2"/>
  <c r="C6" i="2"/>
  <c r="B6" i="2"/>
  <c r="E16" i="1"/>
  <c r="E17" i="1"/>
  <c r="E18" i="1"/>
  <c r="E19" i="1"/>
  <c r="E20" i="1"/>
  <c r="E21" i="1"/>
  <c r="E22" i="1"/>
  <c r="E15" i="1"/>
  <c r="E6" i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<sst xmlns="http://schemas.openxmlformats.org/spreadsheetml/2006/main" count="508" uniqueCount="151">
  <si>
    <t xml:space="preserve">Pedido </t>
  </si>
  <si>
    <t xml:space="preserve">Data compra </t>
  </si>
  <si>
    <t>Prazo / mês</t>
  </si>
  <si>
    <t>Data do pagamento</t>
  </si>
  <si>
    <t>Pagamentos posteriores</t>
  </si>
  <si>
    <t xml:space="preserve">Data entrega </t>
  </si>
  <si>
    <t>Negativos ( pagamentos antecipados)</t>
  </si>
  <si>
    <t>CEP</t>
  </si>
  <si>
    <t>Endereço</t>
  </si>
  <si>
    <t>caracteres</t>
  </si>
  <si>
    <t>Praça Leoni Ramos, 1 – São Domingos, Niterói – RJ, 24210-205</t>
  </si>
  <si>
    <t xml:space="preserve">Nome </t>
  </si>
  <si>
    <t>EXT.TEXTO</t>
  </si>
  <si>
    <t>Id</t>
  </si>
  <si>
    <t>01-MARCOS HENRIQUE</t>
  </si>
  <si>
    <t>02-LUIZ SILVA</t>
  </si>
  <si>
    <t>04-LUCAS DA SILVA</t>
  </si>
  <si>
    <t>Caracter</t>
  </si>
  <si>
    <t>REPT</t>
  </si>
  <si>
    <t>N</t>
  </si>
  <si>
    <t>*</t>
  </si>
  <si>
    <t>RODA</t>
  </si>
  <si>
    <t>Tabela de Venda de Veículos</t>
  </si>
  <si>
    <t>Placa do Veículo</t>
  </si>
  <si>
    <t>Marca</t>
  </si>
  <si>
    <t>Veículo</t>
  </si>
  <si>
    <t>Ano</t>
  </si>
  <si>
    <t>Cor</t>
  </si>
  <si>
    <t>KM</t>
  </si>
  <si>
    <t>Valor</t>
  </si>
  <si>
    <t>Câmbio</t>
  </si>
  <si>
    <t>FAD0104</t>
  </si>
  <si>
    <t>Chevrolet</t>
  </si>
  <si>
    <t>Vectra GL 2.0 MPFi</t>
  </si>
  <si>
    <t>Azul</t>
  </si>
  <si>
    <t>Manual</t>
  </si>
  <si>
    <t>Consulta Veículos</t>
  </si>
  <si>
    <t>BGT3418</t>
  </si>
  <si>
    <t>Astra Hatch CD 2.0 8V</t>
  </si>
  <si>
    <t>Prata</t>
  </si>
  <si>
    <t>HLL9845</t>
  </si>
  <si>
    <t>Renault</t>
  </si>
  <si>
    <t>Clio Sedan Privilége 1.0 16V</t>
  </si>
  <si>
    <t>Bege</t>
  </si>
  <si>
    <t>RFB8405</t>
  </si>
  <si>
    <t>AZT5672</t>
  </si>
  <si>
    <t>Volkswagen</t>
  </si>
  <si>
    <t>Gol 1.0 (G4)</t>
  </si>
  <si>
    <t>Preto</t>
  </si>
  <si>
    <t>207 Hatch XS 1.6 16V</t>
  </si>
  <si>
    <t>MPQ0041</t>
  </si>
  <si>
    <t>Ford</t>
  </si>
  <si>
    <t>Fiesta Hatch 1.6</t>
  </si>
  <si>
    <t>TYU9056</t>
  </si>
  <si>
    <t>Fiat</t>
  </si>
  <si>
    <t>Palio EX 1.0 8V Fire</t>
  </si>
  <si>
    <t>Cinza</t>
  </si>
  <si>
    <t>JKU7713</t>
  </si>
  <si>
    <t>Toyota</t>
  </si>
  <si>
    <t>Corolla Sedan Xei 1.8 16V</t>
  </si>
  <si>
    <t>Verde</t>
  </si>
  <si>
    <t>Automático</t>
  </si>
  <si>
    <t>Peugeot</t>
  </si>
  <si>
    <t>Vinho</t>
  </si>
  <si>
    <t>BBK5522</t>
  </si>
  <si>
    <t>Honda</t>
  </si>
  <si>
    <t>Civic Sedan EX 1.7 16V</t>
  </si>
  <si>
    <t>DER6530</t>
  </si>
  <si>
    <t>Linea 1.8 16V Essence Dualogic</t>
  </si>
  <si>
    <t>valor_procurado:é o valor que deve ser localizado na  coluna da tabela.</t>
  </si>
  <si>
    <t>CAX4050</t>
  </si>
  <si>
    <t>Hyundai</t>
  </si>
  <si>
    <t>Tucson GLS 2.0 16V</t>
  </si>
  <si>
    <t>Branco</t>
  </si>
  <si>
    <t xml:space="preserve">matriz_tabela: Toda a tabela onde irá procurar os dados </t>
  </si>
  <si>
    <t>núm_indice_coluna: corresponde ao número da coluna da tabela</t>
  </si>
  <si>
    <t>procurar_intervalo: VERDADEIRO ou FALSO. Se você colocar FALSO= valor exato se  VERDADEIRO=valor aproximado.</t>
  </si>
  <si>
    <t>kkksss</t>
  </si>
  <si>
    <t>gggggg</t>
  </si>
  <si>
    <t>Valores de Planos de Saúde</t>
  </si>
  <si>
    <t>Planos</t>
  </si>
  <si>
    <t>A</t>
  </si>
  <si>
    <t>B</t>
  </si>
  <si>
    <t>C</t>
  </si>
  <si>
    <t>D</t>
  </si>
  <si>
    <t>Básico</t>
  </si>
  <si>
    <t>Clássico</t>
  </si>
  <si>
    <t>Especial</t>
  </si>
  <si>
    <t>Executivo</t>
  </si>
  <si>
    <t>Consulta de Valores</t>
  </si>
  <si>
    <t>Plano escolhido</t>
  </si>
  <si>
    <t>Valores</t>
  </si>
  <si>
    <t>Brasil - Região Sudeste - 2015</t>
  </si>
  <si>
    <t>São Paulo</t>
  </si>
  <si>
    <t>Rio de Janeiro</t>
  </si>
  <si>
    <t>Minas Gerais</t>
  </si>
  <si>
    <t>Espírito Santo</t>
  </si>
  <si>
    <t>Capital</t>
  </si>
  <si>
    <t>Belo Horizonte</t>
  </si>
  <si>
    <t>Vitória</t>
  </si>
  <si>
    <t>Governador</t>
  </si>
  <si>
    <t>Geraldo Alckmin</t>
  </si>
  <si>
    <t>Luiz Fernando Pezão</t>
  </si>
  <si>
    <t>Fernando Pimentel</t>
  </si>
  <si>
    <t>Paulo Hartung</t>
  </si>
  <si>
    <t>Área Total (km²)</t>
  </si>
  <si>
    <t>Sede do Governo</t>
  </si>
  <si>
    <t>Palácio dos Bandeirantes</t>
  </si>
  <si>
    <t>Palácio Guanabara</t>
  </si>
  <si>
    <t>Palácio Tiradentes</t>
  </si>
  <si>
    <t>Palácio Anchieta</t>
  </si>
  <si>
    <t>Sede da Assembleia Legislativa</t>
  </si>
  <si>
    <t>Palácio 9 de Julho</t>
  </si>
  <si>
    <t>Palácio da Inconfidência</t>
  </si>
  <si>
    <t>Enseada do Suá</t>
  </si>
  <si>
    <t>Consultar Estados</t>
  </si>
  <si>
    <t>Informe o Estado desejado</t>
  </si>
  <si>
    <t>Data</t>
  </si>
  <si>
    <t>Produto</t>
  </si>
  <si>
    <t>Unidades</t>
  </si>
  <si>
    <t>Preço</t>
  </si>
  <si>
    <t>Total venda*</t>
  </si>
  <si>
    <t>Cadeira</t>
  </si>
  <si>
    <t>Mesa</t>
  </si>
  <si>
    <t>Cont.se</t>
  </si>
  <si>
    <t>intervalo - toda a base onde esta o que voce quer buscar</t>
  </si>
  <si>
    <t>Sofá</t>
  </si>
  <si>
    <t>Escrivaninha</t>
  </si>
  <si>
    <t>criterio - o que voce quer buscar</t>
  </si>
  <si>
    <t>Soma.se</t>
  </si>
  <si>
    <t>intervalo de soma- o que voce quer somar</t>
  </si>
  <si>
    <t>Região</t>
  </si>
  <si>
    <t>Sul</t>
  </si>
  <si>
    <t>nordeste</t>
  </si>
  <si>
    <t>sudeste</t>
  </si>
  <si>
    <t>centro oeste</t>
  </si>
  <si>
    <t>Norte</t>
  </si>
  <si>
    <t>Nordeste</t>
  </si>
  <si>
    <t>Cont.ses</t>
  </si>
  <si>
    <t>intervalo de criterios  - toda a base onde esta o que voce quer buscar</t>
  </si>
  <si>
    <t>Sudeste</t>
  </si>
  <si>
    <t>c1</t>
  </si>
  <si>
    <t>c2</t>
  </si>
  <si>
    <t>resultado</t>
  </si>
  <si>
    <t>Centro-Oeste</t>
  </si>
  <si>
    <t>Soma.ses</t>
  </si>
  <si>
    <t>intervalo de soma - o que voce quer somar</t>
  </si>
  <si>
    <t>Status</t>
  </si>
  <si>
    <t>Frete 3% *</t>
  </si>
  <si>
    <t>Valor com frete +</t>
  </si>
  <si>
    <t>valor unidade com frete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</si>
</sst>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6" formatCode="_-&quot;R$&quot;\ * #,##0.00_-;\-&quot;R$&quot;\ * #,##0.00_-;_-&quot;R$&quot;\ * &quot;-&quot;??_-;_-@_-"/>
    <numFmt numFmtId="167" formatCode="_-* #,##0.00_-;\-* #,##0.00_-;_-* &quot;-&quot;??_-;_-@_-"/>
    <numFmt numFmtId="168" formatCode="_-* #,##0_-;\-* #,##0_-;_-* &quot;-&quot;??_-;_-@_-"/>
    <numFmt numFmtId="169" formatCode="#,##0.000"/>
    <numFmt numFmtId="170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02124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62">
    <xf numFmtId="0" fontId="0" fillId="0" borderId="0" xfId="0"/>
    <xf numFmtId="0" fontId="9" fillId="0" borderId="2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right" vertical="center"/>
    </xf>
    <xf numFmtId="0" fontId="0" fillId="0" borderId="0" xfId="0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0" xfId="0" applyNumberFormat="1"/>
    <xf numFmtId="14" fontId="3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0" xfId="0"/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8" fontId="8" fillId="0" borderId="1" xfId="3" applyNumberFormat="1" applyFont="1" applyBorder="1" applyAlignment="1">
      <alignment horizontal="center" vertical="center"/>
    </xf>
    <xf numFmtId="166" fontId="8" fillId="0" borderId="1" xfId="4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8" fontId="8" fillId="0" borderId="1" xfId="3" applyNumberFormat="1" applyFont="1" applyBorder="1" applyAlignment="1">
      <alignment horizontal="center" vertical="center"/>
    </xf>
    <xf numFmtId="166" fontId="8" fillId="0" borderId="1" xfId="4" applyFont="1" applyBorder="1" applyAlignment="1">
      <alignment horizontal="center" vertical="center"/>
    </xf>
    <xf numFmtId="0" fontId="0" fillId="0" borderId="0" xfId="0"/>
    <xf numFmtId="0" fontId="6" fillId="0" borderId="0" xfId="0" applyFont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166" fontId="6" fillId="4" borderId="0" xfId="4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166" fontId="6" fillId="4" borderId="8" xfId="4" applyFont="1" applyFill="1" applyBorder="1" applyAlignment="1">
      <alignment vertical="center"/>
    </xf>
    <xf numFmtId="0" fontId="10" fillId="0" borderId="1" xfId="0" applyFont="1" applyBorder="1" applyAlignment="1">
      <alignment horizontal="right" vertical="center"/>
    </xf>
    <xf numFmtId="166" fontId="6" fillId="0" borderId="1" xfId="4" applyFont="1" applyBorder="1" applyAlignment="1">
      <alignment vertical="center"/>
    </xf>
    <xf numFmtId="0" fontId="13" fillId="0" borderId="1" xfId="0" applyFont="1" applyBorder="1" applyAlignment="1">
      <alignment horizontal="right" vertical="center" textRotation="90"/>
    </xf>
    <xf numFmtId="0" fontId="3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9" fontId="0" fillId="0" borderId="17" xfId="3" applyNumberFormat="1" applyFont="1" applyBorder="1" applyAlignment="1">
      <alignment horizontal="center" vertical="center"/>
    </xf>
    <xf numFmtId="169" fontId="0" fillId="0" borderId="1" xfId="3" applyNumberFormat="1" applyFont="1" applyBorder="1" applyAlignment="1">
      <alignment horizontal="center" vertical="center"/>
    </xf>
    <xf numFmtId="169" fontId="0" fillId="0" borderId="18" xfId="3" applyNumberFormat="1" applyFont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6" borderId="5" xfId="0" applyFont="1" applyFill="1" applyBorder="1" applyAlignment="1">
      <alignment horizontal="right" vertical="center"/>
    </xf>
    <xf numFmtId="0" fontId="14" fillId="0" borderId="1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14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169" fontId="0" fillId="0" borderId="16" xfId="3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0" xfId="0"/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8" fontId="8" fillId="0" borderId="1" xfId="3" applyNumberFormat="1" applyFont="1" applyBorder="1" applyAlignment="1">
      <alignment horizontal="center" vertical="center"/>
    </xf>
    <xf numFmtId="166" fontId="8" fillId="0" borderId="1" xfId="4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9" fontId="0" fillId="0" borderId="17" xfId="3" applyNumberFormat="1" applyFont="1" applyBorder="1" applyAlignment="1">
      <alignment horizontal="center" vertical="center"/>
    </xf>
    <xf numFmtId="169" fontId="0" fillId="0" borderId="1" xfId="3" applyNumberFormat="1" applyFont="1" applyBorder="1" applyAlignment="1">
      <alignment horizontal="center" vertical="center"/>
    </xf>
    <xf numFmtId="169" fontId="0" fillId="0" borderId="18" xfId="3" applyNumberFormat="1" applyFont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6" borderId="5" xfId="0" applyFont="1" applyFill="1" applyBorder="1" applyAlignment="1">
      <alignment horizontal="right" vertical="center"/>
    </xf>
    <xf numFmtId="0" fontId="14" fillId="0" borderId="1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14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169" fontId="0" fillId="0" borderId="16" xfId="3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0" xfId="0"/>
    <xf numFmtId="0" fontId="6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 applyAlignment="1">
      <alignment vertical="center"/>
    </xf>
    <xf numFmtId="0" fontId="3" fillId="0" borderId="5" xfId="0" applyFont="1" applyBorder="1" applyAlignment="1">
      <alignment horizontal="center" vertical="center"/>
    </xf>
    <xf numFmtId="14" fontId="6" fillId="0" borderId="0" xfId="0" applyNumberFormat="1" applyFont="1" applyAlignment="1">
      <alignment vertical="center"/>
    </xf>
    <xf numFmtId="14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6" fontId="0" fillId="0" borderId="23" xfId="4" applyFon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166" fontId="0" fillId="0" borderId="1" xfId="4" applyFont="1" applyBorder="1" applyAlignment="1">
      <alignment horizontal="center" vertical="center"/>
    </xf>
    <xf numFmtId="0" fontId="11" fillId="2" borderId="13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6" fillId="0" borderId="22" xfId="0" applyFont="1" applyBorder="1" applyAlignment="1">
      <alignment horizontal="center"/>
    </xf>
    <xf numFmtId="166" fontId="6" fillId="0" borderId="22" xfId="4" applyFont="1" applyBorder="1" applyAlignment="1">
      <alignment horizontal="center"/>
    </xf>
    <xf numFmtId="0" fontId="17" fillId="8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44" fontId="0" fillId="0" borderId="23" xfId="0" applyNumberFormat="1" applyBorder="1" applyAlignment="1">
      <alignment horizontal="center" vertical="center"/>
    </xf>
    <xf numFmtId="44" fontId="0" fillId="0" borderId="0" xfId="0" applyNumberFormat="1" applyAlignment="1">
      <alignment vertical="center"/>
    </xf>
    <xf numFmtId="44" fontId="0" fillId="0" borderId="1" xfId="1" applyFont="1" applyBorder="1" applyAlignment="1">
      <alignment horizontal="center" vertical="center"/>
    </xf>
    <xf numFmtId="44" fontId="0" fillId="0" borderId="23" xfId="1" applyFont="1" applyBorder="1" applyAlignment="1">
      <alignment horizontal="center" vertical="center"/>
    </xf>
    <xf numFmtId="0" fontId="0" fillId="0" borderId="0" xfId="0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 applyAlignment="1">
      <alignment vertical="center"/>
    </xf>
    <xf numFmtId="0" fontId="3" fillId="0" borderId="5" xfId="0" applyFont="1" applyBorder="1" applyAlignment="1">
      <alignment horizontal="center" vertical="center"/>
    </xf>
    <xf numFmtId="14" fontId="6" fillId="0" borderId="0" xfId="0" applyNumberFormat="1" applyFont="1" applyAlignment="1">
      <alignment vertical="center"/>
    </xf>
    <xf numFmtId="14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6" fontId="0" fillId="0" borderId="23" xfId="4" applyFon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166" fontId="0" fillId="0" borderId="1" xfId="4" applyFont="1" applyBorder="1" applyAlignment="1">
      <alignment horizontal="center" vertical="center"/>
    </xf>
    <xf numFmtId="0" fontId="11" fillId="2" borderId="1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1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5" fillId="0" borderId="0" xfId="0" applyFont="1" applyAlignment="1">
      <alignment vertical="center"/>
    </xf>
    <xf numFmtId="166" fontId="0" fillId="0" borderId="20" xfId="4" applyFont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44" fontId="0" fillId="0" borderId="1" xfId="1" applyFont="1" applyBorder="1" applyAlignment="1">
      <alignment vertical="center"/>
    </xf>
  </cellXfs>
  <cellStyles count="5">
    <cellStyle name="Moeda" xfId="1" builtinId="4"/>
    <cellStyle name="Moeda 2" xfId="4" xr:uid="{7D57F729-1066-405C-BA39-D0EFF99194CF}"/>
    <cellStyle name="Normal" xfId="0" builtinId="0"/>
    <cellStyle name="Porcentagem" xfId="2" builtinId="5"/>
    <cellStyle name="Vírgula 2" xfId="3" xr:uid="{F2BA3450-28D6-4D98-BEFC-15C62F3B3093}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/>
      </font>
      <fill>
        <gradientFill degree="90">
          <stop position="0">
            <color theme="4" tint="-0.25098422193060094"/>
          </stop>
          <stop position="0.5">
            <color theme="7"/>
          </stop>
          <stop position="1">
            <color theme="4" tint="-0.25098422193060094"/>
          </stop>
        </gradientFill>
      </fill>
    </dxf>
    <dxf>
      <font>
        <color theme="1"/>
      </font>
      <fill>
        <gradientFill degree="90">
          <stop position="0">
            <color rgb="FFC00000"/>
          </stop>
          <stop position="0.5">
            <color theme="0"/>
          </stop>
          <stop position="1">
            <color rgb="FFC00000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theme="7"/>
      </font>
      <fill>
        <gradientFill degree="90">
          <stop position="0">
            <color theme="4" tint="-0.25098422193060094"/>
          </stop>
          <stop position="0.5">
            <color theme="7"/>
          </stop>
          <stop position="1">
            <color theme="4" tint="-0.25098422193060094"/>
          </stop>
        </gradientFill>
      </fill>
    </dxf>
    <dxf>
      <font>
        <color theme="1"/>
      </font>
      <fill>
        <gradientFill degree="90">
          <stop position="0">
            <color rgb="FFC00000"/>
          </stop>
          <stop position="0.5">
            <color theme="0"/>
          </stop>
          <stop position="1">
            <color rgb="FFC00000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gradientFill degree="90">
          <stop position="0">
            <color rgb="FFC00000"/>
          </stop>
          <stop position="0.5">
            <color theme="0"/>
          </stop>
          <stop position="1">
            <color rgb="FFC00000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284799</xdr:colOff>
      <xdr:row>0</xdr:row>
      <xdr:rowOff>14451</xdr:rowOff>
    </xdr:from>
    <xdr:ext cx="1532471" cy="374141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BCA7CC3-9EC0-4210-BB98-A561BD21C023}"/>
            </a:ext>
          </a:extLst>
        </xdr:cNvPr>
        <xdr:cNvSpPr/>
      </xdr:nvSpPr>
      <xdr:spPr>
        <a:xfrm>
          <a:off x="894399" y="14451"/>
          <a:ext cx="1532471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Valores em R$</a:t>
          </a:r>
        </a:p>
      </xdr:txBody>
    </xdr:sp>
    <xdr:clientData/>
  </xdr:oneCellAnchor>
  <xdr:oneCellAnchor>
    <xdr:from>
      <xdr:col>3</xdr:col>
      <xdr:colOff>1163705</xdr:colOff>
      <xdr:row>0</xdr:row>
      <xdr:rowOff>14451</xdr:rowOff>
    </xdr:from>
    <xdr:ext cx="781625" cy="374141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DE33402-4EAD-471D-BB30-CB3FA5A238DA}"/>
            </a:ext>
          </a:extLst>
        </xdr:cNvPr>
        <xdr:cNvSpPr/>
      </xdr:nvSpPr>
      <xdr:spPr>
        <a:xfrm>
          <a:off x="3383030" y="14451"/>
          <a:ext cx="781625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Média</a:t>
          </a:r>
        </a:p>
      </xdr:txBody>
    </xdr:sp>
    <xdr:clientData/>
  </xdr:oneCellAnchor>
  <xdr:oneCellAnchor>
    <xdr:from>
      <xdr:col>5</xdr:col>
      <xdr:colOff>838503</xdr:colOff>
      <xdr:row>0</xdr:row>
      <xdr:rowOff>14451</xdr:rowOff>
    </xdr:from>
    <xdr:ext cx="1455078" cy="374141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86BF5212-9D45-47A3-A90D-3969742C0A0A}"/>
            </a:ext>
          </a:extLst>
        </xdr:cNvPr>
        <xdr:cNvSpPr/>
      </xdr:nvSpPr>
      <xdr:spPr>
        <a:xfrm>
          <a:off x="4829478" y="14451"/>
          <a:ext cx="1455078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Valores em %</a:t>
          </a:r>
        </a:p>
      </xdr:txBody>
    </xdr:sp>
    <xdr:clientData/>
  </xdr:oneCellAnchor>
  <xdr:oneCellAnchor>
    <xdr:from>
      <xdr:col>1</xdr:col>
      <xdr:colOff>214017</xdr:colOff>
      <xdr:row>8</xdr:row>
      <xdr:rowOff>74887</xdr:rowOff>
    </xdr:from>
    <xdr:ext cx="1110625" cy="280205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09F99BB-3252-4BCF-83D3-53DB9CCD4D2F}"/>
            </a:ext>
          </a:extLst>
        </xdr:cNvPr>
        <xdr:cNvSpPr/>
      </xdr:nvSpPr>
      <xdr:spPr>
        <a:xfrm>
          <a:off x="823617" y="2246587"/>
          <a:ext cx="1110625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&gt; ou = 2800,00</a:t>
          </a:r>
        </a:p>
      </xdr:txBody>
    </xdr:sp>
    <xdr:clientData/>
  </xdr:oneCellAnchor>
  <xdr:oneCellAnchor>
    <xdr:from>
      <xdr:col>0</xdr:col>
      <xdr:colOff>487082</xdr:colOff>
      <xdr:row>9</xdr:row>
      <xdr:rowOff>115614</xdr:rowOff>
    </xdr:from>
    <xdr:ext cx="1448474" cy="280205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2749E6A3-E6E8-4D2F-8039-338B3B9ECC81}"/>
            </a:ext>
          </a:extLst>
        </xdr:cNvPr>
        <xdr:cNvSpPr/>
      </xdr:nvSpPr>
      <xdr:spPr>
        <a:xfrm>
          <a:off x="487082" y="2477814"/>
          <a:ext cx="1448474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&lt; 2800 e &gt;=</a:t>
          </a:r>
          <a:r>
            <a:rPr lang="pt-BR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1500,00</a:t>
          </a:r>
        </a:p>
      </xdr:txBody>
    </xdr:sp>
    <xdr:clientData/>
  </xdr:oneCellAnchor>
  <xdr:oneCellAnchor>
    <xdr:from>
      <xdr:col>1</xdr:col>
      <xdr:colOff>522306</xdr:colOff>
      <xdr:row>10</xdr:row>
      <xdr:rowOff>182617</xdr:rowOff>
    </xdr:from>
    <xdr:ext cx="802336" cy="280205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DE07D0F-2A34-4A27-9AFA-9724627F94CF}"/>
            </a:ext>
          </a:extLst>
        </xdr:cNvPr>
        <xdr:cNvSpPr/>
      </xdr:nvSpPr>
      <xdr:spPr>
        <a:xfrm>
          <a:off x="1131906" y="2735317"/>
          <a:ext cx="802336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&lt; 1500,00</a:t>
          </a:r>
        </a:p>
      </xdr:txBody>
    </xdr:sp>
    <xdr:clientData/>
  </xdr:oneCellAnchor>
  <xdr:twoCellAnchor editAs="oneCell">
    <xdr:from>
      <xdr:col>2</xdr:col>
      <xdr:colOff>702880</xdr:colOff>
      <xdr:row>8</xdr:row>
      <xdr:rowOff>85397</xdr:rowOff>
    </xdr:from>
    <xdr:to>
      <xdr:col>2</xdr:col>
      <xdr:colOff>880242</xdr:colOff>
      <xdr:row>9</xdr:row>
      <xdr:rowOff>93542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3D88348-9F9E-4084-9787-2D76CECB4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080" y="2257097"/>
          <a:ext cx="177362" cy="1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689741</xdr:colOff>
      <xdr:row>9</xdr:row>
      <xdr:rowOff>157655</xdr:rowOff>
    </xdr:from>
    <xdr:to>
      <xdr:col>2</xdr:col>
      <xdr:colOff>893380</xdr:colOff>
      <xdr:row>10</xdr:row>
      <xdr:rowOff>163252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889C2FE-0901-4AC2-81A2-1C8B58654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8941" y="2519855"/>
          <a:ext cx="203639" cy="196097"/>
        </a:xfrm>
        <a:prstGeom prst="rect">
          <a:avLst/>
        </a:prstGeom>
      </xdr:spPr>
    </xdr:pic>
    <xdr:clientData/>
  </xdr:twoCellAnchor>
  <xdr:twoCellAnchor editAs="oneCell">
    <xdr:from>
      <xdr:col>2</xdr:col>
      <xdr:colOff>702879</xdr:colOff>
      <xdr:row>11</xdr:row>
      <xdr:rowOff>46677</xdr:rowOff>
    </xdr:from>
    <xdr:to>
      <xdr:col>2</xdr:col>
      <xdr:colOff>873672</xdr:colOff>
      <xdr:row>12</xdr:row>
      <xdr:rowOff>63099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A4CF1539-AD21-42C6-9BFD-22E629563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079" y="2789877"/>
          <a:ext cx="170793" cy="206922"/>
        </a:xfrm>
        <a:prstGeom prst="rect">
          <a:avLst/>
        </a:prstGeom>
      </xdr:spPr>
    </xdr:pic>
    <xdr:clientData/>
  </xdr:twoCellAnchor>
  <xdr:oneCellAnchor>
    <xdr:from>
      <xdr:col>3</xdr:col>
      <xdr:colOff>1027237</xdr:colOff>
      <xdr:row>8</xdr:row>
      <xdr:rowOff>63063</xdr:rowOff>
    </xdr:from>
    <xdr:ext cx="682366" cy="280205"/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44FC38E-9696-48E0-A7DB-52EEB56F690C}"/>
            </a:ext>
          </a:extLst>
        </xdr:cNvPr>
        <xdr:cNvSpPr/>
      </xdr:nvSpPr>
      <xdr:spPr>
        <a:xfrm>
          <a:off x="3246562" y="2234763"/>
          <a:ext cx="682366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&gt; ou = 7</a:t>
          </a:r>
        </a:p>
      </xdr:txBody>
    </xdr:sp>
    <xdr:clientData/>
  </xdr:oneCellAnchor>
  <xdr:oneCellAnchor>
    <xdr:from>
      <xdr:col>3</xdr:col>
      <xdr:colOff>923297</xdr:colOff>
      <xdr:row>9</xdr:row>
      <xdr:rowOff>103790</xdr:rowOff>
    </xdr:from>
    <xdr:ext cx="786306" cy="280205"/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A3EC427A-CF06-497F-B2D4-C95D9750A50C}"/>
            </a:ext>
          </a:extLst>
        </xdr:cNvPr>
        <xdr:cNvSpPr/>
      </xdr:nvSpPr>
      <xdr:spPr>
        <a:xfrm>
          <a:off x="3142622" y="2465990"/>
          <a:ext cx="786306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&lt; 7 e &gt;=</a:t>
          </a:r>
          <a:r>
            <a:rPr lang="pt-BR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5</a:t>
          </a:r>
        </a:p>
      </xdr:txBody>
    </xdr:sp>
    <xdr:clientData/>
  </xdr:oneCellAnchor>
  <xdr:oneCellAnchor>
    <xdr:from>
      <xdr:col>4</xdr:col>
      <xdr:colOff>67716</xdr:colOff>
      <xdr:row>10</xdr:row>
      <xdr:rowOff>170793</xdr:rowOff>
    </xdr:from>
    <xdr:ext cx="374077" cy="280205"/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61B9A71B-83CE-41CE-A65C-F924FB4C47C6}"/>
            </a:ext>
          </a:extLst>
        </xdr:cNvPr>
        <xdr:cNvSpPr/>
      </xdr:nvSpPr>
      <xdr:spPr>
        <a:xfrm>
          <a:off x="3449091" y="2723493"/>
          <a:ext cx="374077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&lt; 5</a:t>
          </a:r>
        </a:p>
      </xdr:txBody>
    </xdr:sp>
    <xdr:clientData/>
  </xdr:oneCellAnchor>
  <xdr:twoCellAnchor editAs="oneCell">
    <xdr:from>
      <xdr:col>4</xdr:col>
      <xdr:colOff>524306</xdr:colOff>
      <xdr:row>8</xdr:row>
      <xdr:rowOff>93280</xdr:rowOff>
    </xdr:from>
    <xdr:to>
      <xdr:col>5</xdr:col>
      <xdr:colOff>93533</xdr:colOff>
      <xdr:row>9</xdr:row>
      <xdr:rowOff>101425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49408559-8E26-47E7-8E54-CFCD21B87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05681" y="2264980"/>
          <a:ext cx="178827" cy="198645"/>
        </a:xfrm>
        <a:prstGeom prst="rect">
          <a:avLst/>
        </a:prstGeom>
      </xdr:spPr>
    </xdr:pic>
    <xdr:clientData/>
  </xdr:twoCellAnchor>
  <xdr:twoCellAnchor editAs="oneCell">
    <xdr:from>
      <xdr:col>4</xdr:col>
      <xdr:colOff>511167</xdr:colOff>
      <xdr:row>9</xdr:row>
      <xdr:rowOff>165538</xdr:rowOff>
    </xdr:from>
    <xdr:to>
      <xdr:col>5</xdr:col>
      <xdr:colOff>103892</xdr:colOff>
      <xdr:row>10</xdr:row>
      <xdr:rowOff>171135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D5F12AD5-2D9F-46F5-AE81-F15DBD1E0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92542" y="2527738"/>
          <a:ext cx="202325" cy="196097"/>
        </a:xfrm>
        <a:prstGeom prst="rect">
          <a:avLst/>
        </a:prstGeom>
      </xdr:spPr>
    </xdr:pic>
    <xdr:clientData/>
  </xdr:twoCellAnchor>
  <xdr:twoCellAnchor editAs="oneCell">
    <xdr:from>
      <xdr:col>4</xdr:col>
      <xdr:colOff>524305</xdr:colOff>
      <xdr:row>11</xdr:row>
      <xdr:rowOff>54560</xdr:rowOff>
    </xdr:from>
    <xdr:to>
      <xdr:col>5</xdr:col>
      <xdr:colOff>86963</xdr:colOff>
      <xdr:row>12</xdr:row>
      <xdr:rowOff>70982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406865E-909E-41A4-B9C5-4D6A7E482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905680" y="2797760"/>
          <a:ext cx="172258" cy="206922"/>
        </a:xfrm>
        <a:prstGeom prst="rect">
          <a:avLst/>
        </a:prstGeom>
      </xdr:spPr>
    </xdr:pic>
    <xdr:clientData/>
  </xdr:twoCellAnchor>
  <xdr:oneCellAnchor>
    <xdr:from>
      <xdr:col>5</xdr:col>
      <xdr:colOff>916878</xdr:colOff>
      <xdr:row>8</xdr:row>
      <xdr:rowOff>38101</xdr:rowOff>
    </xdr:from>
    <xdr:ext cx="870366" cy="280205"/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783F5A36-D35C-4D74-8700-8808DA8CD111}"/>
            </a:ext>
          </a:extLst>
        </xdr:cNvPr>
        <xdr:cNvSpPr/>
      </xdr:nvSpPr>
      <xdr:spPr>
        <a:xfrm>
          <a:off x="4907853" y="2209801"/>
          <a:ext cx="870366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&gt; ou = 70%</a:t>
          </a:r>
        </a:p>
      </xdr:txBody>
    </xdr:sp>
    <xdr:clientData/>
  </xdr:oneCellAnchor>
  <xdr:oneCellAnchor>
    <xdr:from>
      <xdr:col>5</xdr:col>
      <xdr:colOff>624938</xdr:colOff>
      <xdr:row>9</xdr:row>
      <xdr:rowOff>78828</xdr:rowOff>
    </xdr:from>
    <xdr:ext cx="1162306" cy="280205"/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41E1616B-20CB-4BAE-AE2F-5AD167BF7DC7}"/>
            </a:ext>
          </a:extLst>
        </xdr:cNvPr>
        <xdr:cNvSpPr/>
      </xdr:nvSpPr>
      <xdr:spPr>
        <a:xfrm>
          <a:off x="4615913" y="2441028"/>
          <a:ext cx="1162306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&lt; 70% e &gt;=</a:t>
          </a:r>
          <a:r>
            <a:rPr lang="pt-BR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50%</a:t>
          </a:r>
        </a:p>
      </xdr:txBody>
    </xdr:sp>
    <xdr:clientData/>
  </xdr:oneCellAnchor>
  <xdr:oneCellAnchor>
    <xdr:from>
      <xdr:col>5</xdr:col>
      <xdr:colOff>1225166</xdr:colOff>
      <xdr:row>10</xdr:row>
      <xdr:rowOff>145831</xdr:rowOff>
    </xdr:from>
    <xdr:ext cx="562078" cy="280205"/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A2777DD1-7BEF-462C-B85C-E35F2A232E04}"/>
            </a:ext>
          </a:extLst>
        </xdr:cNvPr>
        <xdr:cNvSpPr/>
      </xdr:nvSpPr>
      <xdr:spPr>
        <a:xfrm>
          <a:off x="5149466" y="2698531"/>
          <a:ext cx="562078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&lt; 50%</a:t>
          </a:r>
        </a:p>
      </xdr:txBody>
    </xdr:sp>
    <xdr:clientData/>
  </xdr:oneCellAnchor>
  <xdr:twoCellAnchor editAs="oneCell">
    <xdr:from>
      <xdr:col>6</xdr:col>
      <xdr:colOff>569277</xdr:colOff>
      <xdr:row>8</xdr:row>
      <xdr:rowOff>80142</xdr:rowOff>
    </xdr:from>
    <xdr:to>
      <xdr:col>7</xdr:col>
      <xdr:colOff>135727</xdr:colOff>
      <xdr:row>9</xdr:row>
      <xdr:rowOff>88287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FD815302-D63D-4803-BA7E-587982587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22302" y="2251842"/>
          <a:ext cx="176050" cy="198645"/>
        </a:xfrm>
        <a:prstGeom prst="rect">
          <a:avLst/>
        </a:prstGeom>
      </xdr:spPr>
    </xdr:pic>
    <xdr:clientData/>
  </xdr:twoCellAnchor>
  <xdr:twoCellAnchor editAs="oneCell">
    <xdr:from>
      <xdr:col>6</xdr:col>
      <xdr:colOff>556138</xdr:colOff>
      <xdr:row>9</xdr:row>
      <xdr:rowOff>152400</xdr:rowOff>
    </xdr:from>
    <xdr:to>
      <xdr:col>7</xdr:col>
      <xdr:colOff>148865</xdr:colOff>
      <xdr:row>10</xdr:row>
      <xdr:rowOff>157997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93D9A735-59F6-4F99-A4F9-4313DA310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09163" y="2514600"/>
          <a:ext cx="202327" cy="196097"/>
        </a:xfrm>
        <a:prstGeom prst="rect">
          <a:avLst/>
        </a:prstGeom>
      </xdr:spPr>
    </xdr:pic>
    <xdr:clientData/>
  </xdr:twoCellAnchor>
  <xdr:twoCellAnchor editAs="oneCell">
    <xdr:from>
      <xdr:col>6</xdr:col>
      <xdr:colOff>569276</xdr:colOff>
      <xdr:row>11</xdr:row>
      <xdr:rowOff>41422</xdr:rowOff>
    </xdr:from>
    <xdr:to>
      <xdr:col>7</xdr:col>
      <xdr:colOff>129157</xdr:colOff>
      <xdr:row>12</xdr:row>
      <xdr:rowOff>57844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77315E7A-6373-46E3-B894-18B9F0E07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722301" y="2784622"/>
          <a:ext cx="169481" cy="2069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2"/>
  <sheetViews>
    <sheetView topLeftCell="A4" zoomScale="130" zoomScaleNormal="130" workbookViewId="0">
      <selection activeCell="E15" sqref="E15:E22"/>
    </sheetView>
  </sheetViews>
  <sheetFormatPr defaultRowHeight="15" x14ac:dyDescent="0.25"/>
  <cols>
    <col min="2" max="2" width="7.7109375" bestFit="1" customWidth="1"/>
    <col min="3" max="3" width="12.7109375" bestFit="1" customWidth="1"/>
    <col min="4" max="4" width="11.28515625" bestFit="1" customWidth="1"/>
    <col min="5" max="5" width="18.42578125" bestFit="1" customWidth="1"/>
    <col min="7" max="7" width="35" bestFit="1" customWidth="1"/>
  </cols>
  <sheetData>
    <row r="3" spans="2:11" x14ac:dyDescent="0.25">
      <c r="B3" s="3"/>
      <c r="C3" s="3"/>
      <c r="D3" s="3"/>
      <c r="E3" s="6"/>
      <c r="F3" s="9"/>
      <c r="G3" s="3"/>
      <c r="H3" s="3"/>
      <c r="I3" s="3"/>
      <c r="J3" s="3"/>
      <c r="K3" s="3"/>
    </row>
    <row r="4" spans="2:11" x14ac:dyDescent="0.25">
      <c r="B4" s="4" t="s">
        <v>0</v>
      </c>
      <c r="C4" s="5" t="s">
        <v>1</v>
      </c>
      <c r="D4" s="6" t="s">
        <v>2</v>
      </c>
      <c r="E4" s="5" t="s">
        <v>3</v>
      </c>
      <c r="F4" s="3"/>
      <c r="G4" s="3" t="s">
        <v>4</v>
      </c>
      <c r="H4" s="3"/>
      <c r="I4" s="3"/>
      <c r="J4" s="3"/>
      <c r="K4" s="3"/>
    </row>
    <row r="5" spans="2:11" x14ac:dyDescent="0.25">
      <c r="B5" s="4">
        <v>45</v>
      </c>
      <c r="C5" s="5">
        <v>45097</v>
      </c>
      <c r="D5" s="6">
        <v>3</v>
      </c>
      <c r="E5" s="5">
        <f>EDATE(C5,D5)</f>
        <v>45189</v>
      </c>
      <c r="F5" s="3"/>
      <c r="G5" s="3"/>
      <c r="H5" s="3"/>
      <c r="I5" s="3"/>
      <c r="J5" s="3"/>
      <c r="K5" s="7"/>
    </row>
    <row r="6" spans="2:11" x14ac:dyDescent="0.25">
      <c r="B6" s="4">
        <v>7456</v>
      </c>
      <c r="C6" s="8">
        <v>45096</v>
      </c>
      <c r="D6" s="6">
        <v>3</v>
      </c>
      <c r="E6" s="5">
        <f t="shared" ref="E6:E12" si="0">EDATE(C6,D6)</f>
        <v>45188</v>
      </c>
      <c r="F6" s="3"/>
      <c r="G6" s="3"/>
      <c r="H6" s="3"/>
      <c r="I6" s="3"/>
      <c r="J6" s="3"/>
      <c r="K6" s="3"/>
    </row>
    <row r="7" spans="2:11" x14ac:dyDescent="0.25">
      <c r="B7" s="4">
        <v>456</v>
      </c>
      <c r="C7" s="8">
        <v>45102</v>
      </c>
      <c r="D7" s="6">
        <v>4</v>
      </c>
      <c r="E7" s="5">
        <f t="shared" si="0"/>
        <v>45224</v>
      </c>
      <c r="F7" s="3"/>
      <c r="G7" s="3"/>
      <c r="H7" s="3"/>
      <c r="I7" s="3"/>
      <c r="J7" s="3"/>
      <c r="K7" s="3"/>
    </row>
    <row r="8" spans="2:11" x14ac:dyDescent="0.25">
      <c r="B8" s="4">
        <v>46</v>
      </c>
      <c r="C8" s="8">
        <v>45102</v>
      </c>
      <c r="D8" s="6">
        <v>3</v>
      </c>
      <c r="E8" s="5">
        <f t="shared" si="0"/>
        <v>45194</v>
      </c>
      <c r="F8" s="3"/>
      <c r="G8" s="3"/>
      <c r="H8" s="3"/>
      <c r="I8" s="3"/>
      <c r="J8" s="3"/>
      <c r="K8" s="3"/>
    </row>
    <row r="9" spans="2:11" x14ac:dyDescent="0.25">
      <c r="B9" s="4">
        <v>44534</v>
      </c>
      <c r="C9" s="8">
        <v>45097</v>
      </c>
      <c r="D9" s="6">
        <v>5</v>
      </c>
      <c r="E9" s="5">
        <f t="shared" si="0"/>
        <v>45250</v>
      </c>
      <c r="F9" s="3"/>
      <c r="G9" s="3"/>
      <c r="H9" s="3"/>
      <c r="I9" s="3"/>
      <c r="J9" s="3"/>
      <c r="K9" s="3"/>
    </row>
    <row r="10" spans="2:11" x14ac:dyDescent="0.25">
      <c r="B10" s="4">
        <v>345235</v>
      </c>
      <c r="C10" s="8">
        <v>45098</v>
      </c>
      <c r="D10" s="6">
        <v>3</v>
      </c>
      <c r="E10" s="5">
        <f t="shared" si="0"/>
        <v>45190</v>
      </c>
      <c r="F10" s="3"/>
      <c r="G10" s="3"/>
      <c r="H10" s="3"/>
      <c r="I10" s="3"/>
      <c r="J10" s="3"/>
      <c r="K10" s="3"/>
    </row>
    <row r="11" spans="2:11" x14ac:dyDescent="0.25">
      <c r="B11" s="4">
        <v>234</v>
      </c>
      <c r="C11" s="8">
        <v>45103</v>
      </c>
      <c r="D11" s="6">
        <v>3</v>
      </c>
      <c r="E11" s="5">
        <f t="shared" si="0"/>
        <v>45195</v>
      </c>
      <c r="F11" s="3"/>
      <c r="G11" s="3"/>
      <c r="H11" s="3"/>
      <c r="I11" s="3"/>
      <c r="J11" s="3"/>
      <c r="K11" s="3"/>
    </row>
    <row r="12" spans="2:11" x14ac:dyDescent="0.25">
      <c r="B12" s="4">
        <v>32</v>
      </c>
      <c r="C12" s="8">
        <v>45100</v>
      </c>
      <c r="D12" s="6">
        <v>3</v>
      </c>
      <c r="E12" s="5">
        <f t="shared" si="0"/>
        <v>45192</v>
      </c>
      <c r="F12" s="3"/>
      <c r="G12" s="3"/>
      <c r="H12" s="3"/>
      <c r="I12" s="3"/>
      <c r="J12" s="3"/>
      <c r="K12" s="3"/>
    </row>
    <row r="14" spans="2:11" x14ac:dyDescent="0.25">
      <c r="B14" s="4" t="s">
        <v>0</v>
      </c>
      <c r="C14" s="5" t="s">
        <v>5</v>
      </c>
      <c r="D14" s="6" t="s">
        <v>2</v>
      </c>
      <c r="E14" s="5" t="s">
        <v>3</v>
      </c>
      <c r="F14" s="3"/>
      <c r="G14" s="3" t="s">
        <v>6</v>
      </c>
      <c r="H14" s="3"/>
      <c r="I14" s="3"/>
      <c r="J14" s="3"/>
      <c r="K14" s="3"/>
    </row>
    <row r="15" spans="2:11" x14ac:dyDescent="0.25">
      <c r="B15" s="4">
        <v>45</v>
      </c>
      <c r="C15" s="5">
        <v>45280</v>
      </c>
      <c r="D15" s="6">
        <v>3</v>
      </c>
      <c r="E15" s="5">
        <f>EDATE(C15,D15)</f>
        <v>45371</v>
      </c>
      <c r="F15" s="3"/>
      <c r="G15" s="3"/>
      <c r="H15" s="3"/>
      <c r="I15" s="3"/>
      <c r="J15" s="3"/>
      <c r="K15" s="3"/>
    </row>
    <row r="16" spans="2:11" x14ac:dyDescent="0.25">
      <c r="B16" s="4">
        <v>7456</v>
      </c>
      <c r="C16" s="5">
        <v>45128</v>
      </c>
      <c r="D16" s="6">
        <v>3</v>
      </c>
      <c r="E16" s="5">
        <f t="shared" ref="E16:E22" si="1">EDATE(C16,D16)</f>
        <v>45220</v>
      </c>
      <c r="F16" s="3"/>
      <c r="G16" s="3"/>
      <c r="H16" s="3"/>
      <c r="I16" s="3"/>
      <c r="J16" s="3"/>
      <c r="K16" s="3"/>
    </row>
    <row r="17" spans="2:5" x14ac:dyDescent="0.25">
      <c r="B17" s="4">
        <v>456</v>
      </c>
      <c r="C17" s="5">
        <v>45129</v>
      </c>
      <c r="D17" s="6">
        <v>3</v>
      </c>
      <c r="E17" s="5">
        <f t="shared" si="1"/>
        <v>45221</v>
      </c>
    </row>
    <row r="18" spans="2:5" x14ac:dyDescent="0.25">
      <c r="B18" s="4">
        <v>46</v>
      </c>
      <c r="C18" s="5">
        <v>45130</v>
      </c>
      <c r="D18" s="6">
        <v>3</v>
      </c>
      <c r="E18" s="5">
        <f t="shared" si="1"/>
        <v>45222</v>
      </c>
    </row>
    <row r="19" spans="2:5" x14ac:dyDescent="0.25">
      <c r="B19" s="4">
        <v>44534</v>
      </c>
      <c r="C19" s="5">
        <v>45131</v>
      </c>
      <c r="D19" s="6">
        <v>3</v>
      </c>
      <c r="E19" s="5">
        <f t="shared" si="1"/>
        <v>45223</v>
      </c>
    </row>
    <row r="20" spans="2:5" x14ac:dyDescent="0.25">
      <c r="B20" s="4">
        <v>345235</v>
      </c>
      <c r="C20" s="5">
        <v>45132</v>
      </c>
      <c r="D20" s="6">
        <v>3</v>
      </c>
      <c r="E20" s="5">
        <f t="shared" si="1"/>
        <v>45224</v>
      </c>
    </row>
    <row r="21" spans="2:5" x14ac:dyDescent="0.25">
      <c r="B21" s="4">
        <v>234</v>
      </c>
      <c r="C21" s="5">
        <v>45133</v>
      </c>
      <c r="D21" s="6">
        <v>3</v>
      </c>
      <c r="E21" s="5">
        <f t="shared" si="1"/>
        <v>45225</v>
      </c>
    </row>
    <row r="22" spans="2:5" x14ac:dyDescent="0.25">
      <c r="B22" s="4">
        <v>32</v>
      </c>
      <c r="C22" s="5">
        <v>45134</v>
      </c>
      <c r="D22" s="6">
        <v>3</v>
      </c>
      <c r="E22" s="5">
        <f t="shared" si="1"/>
        <v>45226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7FE4-C343-4BB3-B187-5117BED10A04}">
  <dimension ref="A1:P21"/>
  <sheetViews>
    <sheetView workbookViewId="0">
      <selection activeCell="M17" sqref="M17"/>
    </sheetView>
  </sheetViews>
  <sheetFormatPr defaultRowHeight="15.75" x14ac:dyDescent="0.25"/>
  <cols>
    <col min="1" max="1" width="11.28515625" style="140" bestFit="1" customWidth="1"/>
    <col min="2" max="2" width="13.140625" style="140" bestFit="1" customWidth="1"/>
    <col min="3" max="3" width="18.42578125" style="140" bestFit="1" customWidth="1"/>
    <col min="4" max="4" width="14" style="140" bestFit="1" customWidth="1"/>
    <col min="5" max="5" width="12.42578125" style="140" bestFit="1" customWidth="1"/>
    <col min="6" max="6" width="16.85546875" style="140" bestFit="1" customWidth="1"/>
    <col min="7" max="7" width="11.28515625" style="140" bestFit="1" customWidth="1"/>
    <col min="8" max="8" width="12.7109375" style="140" bestFit="1" customWidth="1"/>
    <col min="9" max="9" width="16.28515625" style="140" bestFit="1" customWidth="1"/>
    <col min="10" max="10" width="23.85546875" style="140" bestFit="1" customWidth="1"/>
    <col min="11" max="11" width="9.140625" style="139"/>
    <col min="12" max="12" width="20" style="139" bestFit="1" customWidth="1"/>
    <col min="13" max="13" width="24.5703125" style="139" bestFit="1" customWidth="1"/>
    <col min="14" max="15" width="9.140625" style="139"/>
    <col min="16" max="16" width="11.85546875" style="139" bestFit="1" customWidth="1"/>
    <col min="17" max="16384" width="9.140625" style="139"/>
  </cols>
  <sheetData>
    <row r="1" spans="1:16" ht="16.5" thickBot="1" x14ac:dyDescent="0.3">
      <c r="F1" s="135"/>
      <c r="G1" s="135"/>
    </row>
    <row r="2" spans="1:16" ht="16.5" thickBot="1" x14ac:dyDescent="0.3">
      <c r="A2" s="143" t="s">
        <v>117</v>
      </c>
      <c r="B2" s="143" t="s">
        <v>131</v>
      </c>
      <c r="C2" s="143" t="s">
        <v>118</v>
      </c>
      <c r="D2" s="143" t="s">
        <v>119</v>
      </c>
      <c r="E2" s="143" t="s">
        <v>120</v>
      </c>
      <c r="F2" s="143" t="s">
        <v>121</v>
      </c>
      <c r="G2" s="143" t="s">
        <v>147</v>
      </c>
      <c r="H2" s="143" t="s">
        <v>148</v>
      </c>
      <c r="I2" s="143" t="s">
        <v>149</v>
      </c>
      <c r="J2" s="143" t="s">
        <v>150</v>
      </c>
      <c r="P2" s="144">
        <f ca="1">TODAY()</f>
        <v>45876</v>
      </c>
    </row>
    <row r="3" spans="1:16" x14ac:dyDescent="0.25">
      <c r="A3" s="145">
        <f ca="1">RANDBETWEEN($P$2,$P$3)</f>
        <v>45885</v>
      </c>
      <c r="B3" s="146" t="s">
        <v>140</v>
      </c>
      <c r="C3" s="146" t="s">
        <v>122</v>
      </c>
      <c r="D3" s="146">
        <v>10</v>
      </c>
      <c r="E3" s="137">
        <v>708</v>
      </c>
      <c r="F3" s="134">
        <v>300000</v>
      </c>
      <c r="G3" s="134">
        <f>F3</f>
        <v>300000</v>
      </c>
      <c r="H3" s="137">
        <f>+F3*3%</f>
        <v>9000</v>
      </c>
      <c r="I3" s="137">
        <f>+H3+F3</f>
        <v>309000</v>
      </c>
      <c r="J3" s="137">
        <f>I3/D3</f>
        <v>30900</v>
      </c>
      <c r="P3" s="144">
        <f ca="1">+P2+15</f>
        <v>45891</v>
      </c>
    </row>
    <row r="4" spans="1:16" x14ac:dyDescent="0.25">
      <c r="A4" s="145">
        <f ca="1">RANDBETWEEN($P$2,$P$4)</f>
        <v>45876</v>
      </c>
      <c r="B4" s="141" t="s">
        <v>136</v>
      </c>
      <c r="C4" s="141" t="s">
        <v>122</v>
      </c>
      <c r="D4" s="141">
        <v>244</v>
      </c>
      <c r="E4" s="136">
        <v>856</v>
      </c>
      <c r="F4" s="134">
        <f>E4*D4</f>
        <v>208864</v>
      </c>
      <c r="G4" s="134">
        <f>F4</f>
        <v>208864</v>
      </c>
      <c r="H4" s="137">
        <f>+F4*3%</f>
        <v>6265.92</v>
      </c>
      <c r="I4" s="137">
        <f>+H4+F4</f>
        <v>215129.92</v>
      </c>
      <c r="J4" s="137">
        <f>I4/D4</f>
        <v>881.68000000000006</v>
      </c>
      <c r="P4" s="144">
        <f ca="1">+P3-15</f>
        <v>45876</v>
      </c>
    </row>
    <row r="5" spans="1:16" x14ac:dyDescent="0.25">
      <c r="A5" s="145">
        <v>44367</v>
      </c>
      <c r="B5" s="141" t="s">
        <v>132</v>
      </c>
      <c r="C5" s="141" t="s">
        <v>122</v>
      </c>
      <c r="D5" s="141">
        <v>240</v>
      </c>
      <c r="E5" s="136">
        <v>855</v>
      </c>
      <c r="F5" s="134">
        <f>E5*D5</f>
        <v>205200</v>
      </c>
      <c r="G5" s="134">
        <f>F5</f>
        <v>205200</v>
      </c>
      <c r="H5" s="137">
        <f>+F5*3%</f>
        <v>6156</v>
      </c>
      <c r="I5" s="137">
        <f>+H5+F5</f>
        <v>211356</v>
      </c>
      <c r="J5" s="137">
        <f>I5/D5</f>
        <v>880.65</v>
      </c>
    </row>
    <row r="6" spans="1:16" x14ac:dyDescent="0.25">
      <c r="A6" s="145">
        <f ca="1">RANDBETWEEN($P$2,$P$4)</f>
        <v>45876</v>
      </c>
      <c r="B6" s="141" t="s">
        <v>140</v>
      </c>
      <c r="C6" s="141" t="s">
        <v>122</v>
      </c>
      <c r="D6" s="141">
        <v>188</v>
      </c>
      <c r="E6" s="136">
        <v>672</v>
      </c>
      <c r="F6" s="134">
        <f>E6*D6</f>
        <v>126336</v>
      </c>
      <c r="G6" s="134">
        <f>F6</f>
        <v>126336</v>
      </c>
      <c r="H6" s="137">
        <f>+F6*3%</f>
        <v>3790.08</v>
      </c>
      <c r="I6" s="137">
        <f>+H6+F6</f>
        <v>130126.08</v>
      </c>
      <c r="J6" s="137">
        <f>I6/D6</f>
        <v>692.16</v>
      </c>
    </row>
    <row r="7" spans="1:16" x14ac:dyDescent="0.25">
      <c r="A7" s="145">
        <f ca="1">RANDBETWEEN($P$2,$P$4)</f>
        <v>45876</v>
      </c>
      <c r="B7" s="141" t="s">
        <v>132</v>
      </c>
      <c r="C7" s="141" t="s">
        <v>122</v>
      </c>
      <c r="D7" s="141">
        <v>64</v>
      </c>
      <c r="E7" s="136">
        <v>1894</v>
      </c>
      <c r="F7" s="134">
        <f>E7*D7</f>
        <v>121216</v>
      </c>
      <c r="G7" s="134">
        <f>F7</f>
        <v>121216</v>
      </c>
      <c r="H7" s="137">
        <f>+F7*3%</f>
        <v>3636.48</v>
      </c>
      <c r="I7" s="137">
        <f>+H7+F7</f>
        <v>124852.48</v>
      </c>
      <c r="J7" s="137">
        <f>I7/D7</f>
        <v>1950.82</v>
      </c>
    </row>
    <row r="8" spans="1:16" x14ac:dyDescent="0.25">
      <c r="A8" s="145">
        <v>44365</v>
      </c>
      <c r="B8" s="141" t="s">
        <v>136</v>
      </c>
      <c r="C8" s="141" t="s">
        <v>123</v>
      </c>
      <c r="D8" s="141">
        <v>156</v>
      </c>
      <c r="E8" s="136">
        <v>715</v>
      </c>
      <c r="F8" s="134">
        <f>E8*D8</f>
        <v>111540</v>
      </c>
      <c r="G8" s="134">
        <f>F8</f>
        <v>111540</v>
      </c>
      <c r="H8" s="137">
        <f>+F8*3%</f>
        <v>3346.2</v>
      </c>
      <c r="I8" s="137">
        <f>+H8+F8</f>
        <v>114886.2</v>
      </c>
      <c r="J8" s="137">
        <f>I8/D8</f>
        <v>736.44999999999993</v>
      </c>
    </row>
    <row r="9" spans="1:16" x14ac:dyDescent="0.25">
      <c r="A9" s="145">
        <f ca="1">RANDBETWEEN($P$2,$P$3)</f>
        <v>45876</v>
      </c>
      <c r="B9" s="141" t="s">
        <v>144</v>
      </c>
      <c r="C9" s="141" t="s">
        <v>126</v>
      </c>
      <c r="D9" s="141">
        <v>70</v>
      </c>
      <c r="E9" s="136">
        <v>1500</v>
      </c>
      <c r="F9" s="134">
        <f>E9*D9</f>
        <v>105000</v>
      </c>
      <c r="G9" s="134">
        <f>F9</f>
        <v>105000</v>
      </c>
      <c r="H9" s="137">
        <f>+F9*3%</f>
        <v>3150</v>
      </c>
      <c r="I9" s="137">
        <f>+H9+F9</f>
        <v>108150</v>
      </c>
      <c r="J9" s="137">
        <f>I9/D9</f>
        <v>1545</v>
      </c>
    </row>
    <row r="10" spans="1:16" x14ac:dyDescent="0.25">
      <c r="A10" s="145">
        <f ca="1">RANDBETWEEN($P$2,$P$3)</f>
        <v>45891</v>
      </c>
      <c r="B10" s="141" t="s">
        <v>132</v>
      </c>
      <c r="C10" s="141" t="s">
        <v>127</v>
      </c>
      <c r="D10" s="141">
        <v>90</v>
      </c>
      <c r="E10" s="136">
        <v>981</v>
      </c>
      <c r="F10" s="134">
        <f>E10*D10</f>
        <v>88290</v>
      </c>
      <c r="G10" s="134">
        <f>F10</f>
        <v>88290</v>
      </c>
      <c r="H10" s="137">
        <f>+F10*3%</f>
        <v>2648.7</v>
      </c>
      <c r="I10" s="137">
        <f>+H10+F10</f>
        <v>90938.7</v>
      </c>
      <c r="J10" s="137">
        <f>I10/D10</f>
        <v>1010.43</v>
      </c>
    </row>
    <row r="11" spans="1:16" x14ac:dyDescent="0.25">
      <c r="A11" s="145">
        <f ca="1">RANDBETWEEN($P$2,$P$4)</f>
        <v>45876</v>
      </c>
      <c r="B11" s="141" t="s">
        <v>137</v>
      </c>
      <c r="C11" s="141" t="s">
        <v>127</v>
      </c>
      <c r="D11" s="141">
        <v>108</v>
      </c>
      <c r="E11" s="136">
        <v>791</v>
      </c>
      <c r="F11" s="134">
        <f>E11*D11</f>
        <v>85428</v>
      </c>
      <c r="G11" s="134">
        <f>F11</f>
        <v>85428</v>
      </c>
      <c r="H11" s="137">
        <f>+F11*3%</f>
        <v>2562.8399999999997</v>
      </c>
      <c r="I11" s="137">
        <f>+H11+F11</f>
        <v>87990.84</v>
      </c>
      <c r="J11" s="137">
        <f>I11/D11</f>
        <v>814.73</v>
      </c>
    </row>
    <row r="12" spans="1:16" x14ac:dyDescent="0.25">
      <c r="A12" s="145">
        <f ca="1">RANDBETWEEN($P$2,$P$3)</f>
        <v>45891</v>
      </c>
      <c r="B12" s="141" t="s">
        <v>140</v>
      </c>
      <c r="C12" s="141" t="s">
        <v>126</v>
      </c>
      <c r="D12" s="141">
        <v>100</v>
      </c>
      <c r="E12" s="136">
        <v>559</v>
      </c>
      <c r="F12" s="134">
        <f>E12*D12</f>
        <v>55900</v>
      </c>
      <c r="G12" s="134">
        <f>F12</f>
        <v>55900</v>
      </c>
      <c r="H12" s="137">
        <f>+F12*3%</f>
        <v>1677</v>
      </c>
      <c r="I12" s="137">
        <f>+H12+F12</f>
        <v>57577</v>
      </c>
      <c r="J12" s="137">
        <f>I12/D12</f>
        <v>575.77</v>
      </c>
    </row>
    <row r="13" spans="1:16" x14ac:dyDescent="0.25">
      <c r="A13" s="145">
        <f ca="1">RANDBETWEEN($P$2,$P$4)</f>
        <v>45876</v>
      </c>
      <c r="B13" s="141" t="s">
        <v>136</v>
      </c>
      <c r="C13" s="141" t="s">
        <v>123</v>
      </c>
      <c r="D13" s="141">
        <v>188</v>
      </c>
      <c r="E13" s="136">
        <v>212</v>
      </c>
      <c r="F13" s="134">
        <f>E13*D13</f>
        <v>39856</v>
      </c>
      <c r="G13" s="134">
        <f>F13</f>
        <v>39856</v>
      </c>
      <c r="H13" s="137">
        <f>+F13*3%</f>
        <v>1195.68</v>
      </c>
      <c r="I13" s="137">
        <f>+H13+F13</f>
        <v>41051.68</v>
      </c>
      <c r="J13" s="137">
        <f>I13/D13</f>
        <v>218.36</v>
      </c>
    </row>
    <row r="14" spans="1:16" x14ac:dyDescent="0.25">
      <c r="A14" s="145">
        <f ca="1">RANDBETWEEN($P$2,$P$3)</f>
        <v>45876</v>
      </c>
      <c r="B14" s="141" t="s">
        <v>137</v>
      </c>
      <c r="C14" s="141" t="s">
        <v>127</v>
      </c>
      <c r="D14" s="141">
        <v>46</v>
      </c>
      <c r="E14" s="136">
        <v>779</v>
      </c>
      <c r="F14" s="134">
        <f>E14*D14</f>
        <v>35834</v>
      </c>
      <c r="G14" s="134">
        <f>F14</f>
        <v>35834</v>
      </c>
      <c r="H14" s="137">
        <f>+F14*3%</f>
        <v>1075.02</v>
      </c>
      <c r="I14" s="137">
        <f>+H14+F14</f>
        <v>36909.019999999997</v>
      </c>
      <c r="J14" s="137">
        <f>I14/D14</f>
        <v>802.36999999999989</v>
      </c>
    </row>
    <row r="15" spans="1:16" x14ac:dyDescent="0.25">
      <c r="A15" s="145">
        <f ca="1">RANDBETWEEN($P$2,$P$4)</f>
        <v>45876</v>
      </c>
      <c r="B15" s="141" t="s">
        <v>144</v>
      </c>
      <c r="C15" s="141" t="s">
        <v>126</v>
      </c>
      <c r="D15" s="141">
        <v>50</v>
      </c>
      <c r="E15" s="136">
        <v>578</v>
      </c>
      <c r="F15" s="134">
        <f>E15*D15</f>
        <v>28900</v>
      </c>
      <c r="G15" s="134">
        <f>F15</f>
        <v>28900</v>
      </c>
      <c r="H15" s="137">
        <f>+F15*3%</f>
        <v>867</v>
      </c>
      <c r="I15" s="137">
        <f>+H15+F15</f>
        <v>29767</v>
      </c>
      <c r="J15" s="137">
        <f>I15/D15</f>
        <v>595.34</v>
      </c>
    </row>
    <row r="16" spans="1:16" x14ac:dyDescent="0.25">
      <c r="A16" s="145">
        <f ca="1">RANDBETWEEN($P$2,$P$3)</f>
        <v>45876</v>
      </c>
      <c r="B16" s="141" t="s">
        <v>132</v>
      </c>
      <c r="C16" s="141" t="s">
        <v>122</v>
      </c>
      <c r="D16" s="141">
        <v>30</v>
      </c>
      <c r="E16" s="136">
        <v>503</v>
      </c>
      <c r="F16" s="134">
        <f>E16*D16</f>
        <v>15090</v>
      </c>
      <c r="G16" s="134">
        <f>F16</f>
        <v>15090</v>
      </c>
      <c r="H16" s="137">
        <f>+F16*3%</f>
        <v>452.7</v>
      </c>
      <c r="I16" s="137">
        <f>+H16+F16</f>
        <v>15542.7</v>
      </c>
      <c r="J16" s="137">
        <f>I16/D16</f>
        <v>518.09</v>
      </c>
    </row>
    <row r="17" spans="1:10" x14ac:dyDescent="0.25">
      <c r="A17" s="145">
        <f ca="1">RANDBETWEEN($P$2,$P$4)</f>
        <v>45876</v>
      </c>
      <c r="B17" s="141" t="s">
        <v>140</v>
      </c>
      <c r="C17" s="141" t="s">
        <v>122</v>
      </c>
      <c r="D17" s="141">
        <v>38</v>
      </c>
      <c r="E17" s="136">
        <v>373</v>
      </c>
      <c r="F17" s="134">
        <f>E17*D17</f>
        <v>14174</v>
      </c>
      <c r="G17" s="134">
        <f>F17</f>
        <v>14174</v>
      </c>
      <c r="H17" s="137">
        <f>+F17*3%</f>
        <v>425.21999999999997</v>
      </c>
      <c r="I17" s="137">
        <f>+H17+F17</f>
        <v>14599.22</v>
      </c>
      <c r="J17" s="137">
        <f>I17/D17</f>
        <v>384.19</v>
      </c>
    </row>
    <row r="18" spans="1:10" x14ac:dyDescent="0.25">
      <c r="A18" s="145">
        <f ca="1">RANDBETWEEN($P$2,$P$3)</f>
        <v>45882</v>
      </c>
      <c r="B18" s="141" t="s">
        <v>132</v>
      </c>
      <c r="C18" s="141" t="s">
        <v>123</v>
      </c>
      <c r="D18" s="141">
        <v>74</v>
      </c>
      <c r="E18" s="136">
        <v>156</v>
      </c>
      <c r="F18" s="134">
        <f>E18*D18</f>
        <v>11544</v>
      </c>
      <c r="G18" s="134">
        <f>F18</f>
        <v>11544</v>
      </c>
      <c r="H18" s="137">
        <f>+F18*3%</f>
        <v>346.32</v>
      </c>
      <c r="I18" s="137">
        <f>+H18+F18</f>
        <v>11890.32</v>
      </c>
      <c r="J18" s="137">
        <f>I18/D18</f>
        <v>160.68</v>
      </c>
    </row>
    <row r="19" spans="1:10" x14ac:dyDescent="0.25">
      <c r="A19" s="145">
        <f ca="1">RANDBETWEEN($P$2,$P$3)</f>
        <v>45889</v>
      </c>
      <c r="B19" s="141" t="s">
        <v>137</v>
      </c>
      <c r="C19" s="141" t="s">
        <v>122</v>
      </c>
      <c r="D19" s="141">
        <v>36</v>
      </c>
      <c r="E19" s="136">
        <v>255</v>
      </c>
      <c r="F19" s="134">
        <f>E19*D19</f>
        <v>9180</v>
      </c>
      <c r="G19" s="134">
        <f>F19</f>
        <v>9180</v>
      </c>
      <c r="H19" s="137">
        <f>+F19*3%</f>
        <v>275.39999999999998</v>
      </c>
      <c r="I19" s="137">
        <f>+H19+F19</f>
        <v>9455.4</v>
      </c>
      <c r="J19" s="137">
        <f>I19/D19</f>
        <v>262.64999999999998</v>
      </c>
    </row>
    <row r="20" spans="1:10" x14ac:dyDescent="0.25">
      <c r="A20" s="145">
        <f ca="1">RANDBETWEEN($P$2,$P$3)</f>
        <v>45890</v>
      </c>
      <c r="B20" s="141" t="s">
        <v>136</v>
      </c>
      <c r="C20" s="141" t="s">
        <v>122</v>
      </c>
      <c r="D20" s="141">
        <v>24</v>
      </c>
      <c r="E20" s="136">
        <v>184.2</v>
      </c>
      <c r="F20" s="134">
        <f>E20*D20</f>
        <v>4420.7999999999993</v>
      </c>
      <c r="G20" s="134">
        <f>F20</f>
        <v>4420.7999999999993</v>
      </c>
      <c r="H20" s="137">
        <f>+F20*3%</f>
        <v>132.62399999999997</v>
      </c>
      <c r="I20" s="137">
        <f>+H20+F20</f>
        <v>4553.4239999999991</v>
      </c>
      <c r="J20" s="137">
        <f>I20/D20</f>
        <v>189.72599999999997</v>
      </c>
    </row>
    <row r="21" spans="1:10" x14ac:dyDescent="0.25">
      <c r="A21" s="145">
        <f ca="1">RANDBETWEEN($P$2,$P$4)</f>
        <v>45876</v>
      </c>
      <c r="B21" s="141" t="s">
        <v>136</v>
      </c>
      <c r="C21" s="141" t="s">
        <v>122</v>
      </c>
      <c r="D21" s="141">
        <v>2</v>
      </c>
      <c r="E21" s="136">
        <v>324</v>
      </c>
      <c r="F21" s="134">
        <f>E21*D21</f>
        <v>648</v>
      </c>
      <c r="G21" s="134">
        <f>F21</f>
        <v>648</v>
      </c>
      <c r="H21" s="137">
        <f>+F21*3%</f>
        <v>19.439999999999998</v>
      </c>
      <c r="I21" s="137">
        <f>+H21+F21</f>
        <v>667.44</v>
      </c>
      <c r="J21" s="137">
        <f>I21/D21</f>
        <v>333.72</v>
      </c>
    </row>
  </sheetData>
  <autoFilter ref="F2:F21" xr:uid="{99537FE4-C343-4BB3-B187-5117BED10A04}">
    <sortState xmlns:xlrd2="http://schemas.microsoft.com/office/spreadsheetml/2017/richdata2" ref="A3:J21">
      <sortCondition descending="1" ref="F2:F21"/>
    </sortState>
  </autoFilter>
  <conditionalFormatting sqref="F3:F21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B7E2049F-1417-449A-AE1E-C85B5DECE39E}">
            <x14:iconSet iconSet="3Triangle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2" iconId="0"/>
              <x14:cfIcon iconSet="3TrafficLights1" iconId="1"/>
              <x14:cfIcon iconSet="3Symbols2" iconId="2"/>
            </x14:iconSet>
          </x14:cfRule>
          <xm:sqref>G3:G21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F6CA-8AD9-47FB-9DD3-3797A3C64EA9}">
  <dimension ref="C2:G8"/>
  <sheetViews>
    <sheetView tabSelected="1" workbookViewId="0">
      <selection activeCell="O15" sqref="O15"/>
    </sheetView>
  </sheetViews>
  <sheetFormatPr defaultRowHeight="15" x14ac:dyDescent="0.25"/>
  <cols>
    <col min="1" max="2" width="9.140625" style="138"/>
    <col min="3" max="3" width="15" style="138" customWidth="1"/>
    <col min="4" max="4" width="17.42578125" style="138" customWidth="1"/>
    <col min="5" max="5" width="9.140625" style="138"/>
    <col min="6" max="6" width="17.42578125" style="138" customWidth="1"/>
    <col min="7" max="16384" width="9.140625" style="138"/>
  </cols>
  <sheetData>
    <row r="2" spans="3:7" ht="21" customHeight="1" x14ac:dyDescent="0.25"/>
    <row r="3" spans="3:7" ht="22.5" customHeight="1" x14ac:dyDescent="0.25">
      <c r="C3" s="161">
        <v>2500</v>
      </c>
      <c r="E3" s="159">
        <v>10</v>
      </c>
      <c r="F3" s="140"/>
      <c r="G3" s="160">
        <v>0.95</v>
      </c>
    </row>
    <row r="4" spans="3:7" ht="22.5" customHeight="1" x14ac:dyDescent="0.25">
      <c r="C4" s="161">
        <v>3290</v>
      </c>
      <c r="E4" s="159">
        <v>7.5</v>
      </c>
      <c r="F4" s="140"/>
      <c r="G4" s="160">
        <v>0.6</v>
      </c>
    </row>
    <row r="5" spans="3:7" ht="22.5" customHeight="1" x14ac:dyDescent="0.25">
      <c r="C5" s="161">
        <v>2465</v>
      </c>
      <c r="E5" s="159">
        <v>6.5</v>
      </c>
      <c r="F5" s="140"/>
      <c r="G5" s="160">
        <v>0.75</v>
      </c>
    </row>
    <row r="6" spans="3:7" ht="22.5" customHeight="1" x14ac:dyDescent="0.25">
      <c r="C6" s="161">
        <v>1985</v>
      </c>
      <c r="E6" s="159">
        <v>9.5</v>
      </c>
      <c r="F6" s="140"/>
      <c r="G6" s="160">
        <v>0.83</v>
      </c>
    </row>
    <row r="7" spans="3:7" ht="22.5" customHeight="1" x14ac:dyDescent="0.25">
      <c r="C7" s="161">
        <v>1349</v>
      </c>
      <c r="E7" s="159">
        <v>4.5</v>
      </c>
      <c r="F7" s="140"/>
      <c r="G7" s="160">
        <v>0.8</v>
      </c>
    </row>
    <row r="8" spans="3:7" ht="22.5" customHeight="1" x14ac:dyDescent="0.25">
      <c r="C8" s="161">
        <v>250</v>
      </c>
      <c r="E8" s="159">
        <v>6.5</v>
      </c>
      <c r="F8" s="140"/>
      <c r="G8" s="160">
        <v>0.5</v>
      </c>
    </row>
  </sheetData>
  <conditionalFormatting sqref="C3:C8">
    <cfRule type="iconSet" priority="3">
      <iconSet iconSet="3Arrows">
        <cfvo type="percent" val="0"/>
        <cfvo type="num" val="1500"/>
        <cfvo type="num" val="2500"/>
      </iconSet>
    </cfRule>
  </conditionalFormatting>
  <conditionalFormatting sqref="E3:E8">
    <cfRule type="iconSet" priority="2">
      <iconSet>
        <cfvo type="percent" val="0"/>
        <cfvo type="num" val="5"/>
        <cfvo type="num" val="7"/>
      </iconSet>
    </cfRule>
  </conditionalFormatting>
  <conditionalFormatting sqref="G3:G8">
    <cfRule type="iconSet" priority="1">
      <iconSet iconSet="3Arrows">
        <cfvo type="percent" val="0"/>
        <cfvo type="percent" val="50"/>
        <cfvo type="percent" val="70"/>
      </iconSet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71307-9240-4DF3-831E-CA62E4B9762D}">
  <dimension ref="A5:D26"/>
  <sheetViews>
    <sheetView workbookViewId="0">
      <selection activeCell="F19" sqref="F19"/>
    </sheetView>
  </sheetViews>
  <sheetFormatPr defaultRowHeight="15" x14ac:dyDescent="0.25"/>
  <cols>
    <col min="1" max="1" width="65.42578125" bestFit="1" customWidth="1"/>
    <col min="2" max="2" width="21.42578125" bestFit="1" customWidth="1"/>
    <col min="3" max="3" width="18.5703125" bestFit="1" customWidth="1"/>
    <col min="4" max="4" width="20.140625" customWidth="1"/>
  </cols>
  <sheetData>
    <row r="5" spans="1:4" x14ac:dyDescent="0.25">
      <c r="A5" s="13"/>
      <c r="B5" s="14" t="s">
        <v>7</v>
      </c>
      <c r="C5" s="14" t="s">
        <v>8</v>
      </c>
      <c r="D5" s="14" t="s">
        <v>9</v>
      </c>
    </row>
    <row r="6" spans="1:4" x14ac:dyDescent="0.25">
      <c r="A6" s="15" t="s">
        <v>10</v>
      </c>
      <c r="B6" s="13" t="str">
        <f>RIGHT(A6,9)</f>
        <v>24210-205</v>
      </c>
      <c r="C6" s="13" t="str">
        <f>LEFT(A6,17)</f>
        <v>Praça Leoni Ramos</v>
      </c>
      <c r="D6" s="13">
        <f>LEN(A6)</f>
        <v>60</v>
      </c>
    </row>
    <row r="14" spans="1:4" x14ac:dyDescent="0.25">
      <c r="A14" s="12"/>
      <c r="B14" s="14" t="s">
        <v>11</v>
      </c>
      <c r="C14" s="14" t="s">
        <v>12</v>
      </c>
      <c r="D14" s="14" t="s">
        <v>13</v>
      </c>
    </row>
    <row r="15" spans="1:4" x14ac:dyDescent="0.25">
      <c r="A15" s="12"/>
      <c r="B15" s="13" t="s">
        <v>14</v>
      </c>
      <c r="C15" s="13" t="str">
        <f>MID(B15,4,15)</f>
        <v>MARCOS HENRIQUE</v>
      </c>
      <c r="D15" s="13" t="str">
        <f>LEFT(B15,2)</f>
        <v>01</v>
      </c>
    </row>
    <row r="16" spans="1:4" x14ac:dyDescent="0.25">
      <c r="A16" s="12"/>
      <c r="B16" s="13" t="s">
        <v>15</v>
      </c>
      <c r="C16" s="13" t="str">
        <f t="shared" ref="C16:C17" si="0">MID(B16,4,15)</f>
        <v>LUIZ SILVA</v>
      </c>
      <c r="D16" s="13" t="str">
        <f t="shared" ref="D16:D17" si="1">LEFT(B16,2)</f>
        <v>02</v>
      </c>
    </row>
    <row r="17" spans="2:4" x14ac:dyDescent="0.25">
      <c r="B17" s="13" t="s">
        <v>16</v>
      </c>
      <c r="C17" s="13" t="str">
        <f t="shared" si="0"/>
        <v>LUCAS DA SILVA</v>
      </c>
      <c r="D17" s="13" t="str">
        <f t="shared" si="1"/>
        <v>04</v>
      </c>
    </row>
    <row r="23" spans="2:4" x14ac:dyDescent="0.25">
      <c r="B23" s="14" t="s">
        <v>17</v>
      </c>
      <c r="C23" s="14" t="s">
        <v>18</v>
      </c>
      <c r="D23" s="12"/>
    </row>
    <row r="24" spans="2:4" x14ac:dyDescent="0.25">
      <c r="B24" s="13" t="s">
        <v>19</v>
      </c>
      <c r="C24" s="13" t="str">
        <f>REPT(B24,10)</f>
        <v>NNNNNNNNNN</v>
      </c>
      <c r="D24" s="12"/>
    </row>
    <row r="25" spans="2:4" x14ac:dyDescent="0.25">
      <c r="B25" s="13" t="s">
        <v>20</v>
      </c>
      <c r="C25" s="13"/>
      <c r="D25" s="12"/>
    </row>
    <row r="26" spans="2:4" x14ac:dyDescent="0.25">
      <c r="B26" s="13" t="s">
        <v>21</v>
      </c>
      <c r="C26" s="13"/>
      <c r="D26" s="1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26DF-7DBA-41A6-8B4E-31B38A05CDD3}">
  <dimension ref="B2:M17"/>
  <sheetViews>
    <sheetView zoomScaleNormal="100" workbookViewId="0">
      <selection activeCell="M10" sqref="M10"/>
    </sheetView>
  </sheetViews>
  <sheetFormatPr defaultRowHeight="15" x14ac:dyDescent="0.25"/>
  <cols>
    <col min="2" max="2" width="13.5703125" bestFit="1" customWidth="1"/>
    <col min="3" max="3" width="10.28515625" bestFit="1" customWidth="1"/>
    <col min="4" max="4" width="26" bestFit="1" customWidth="1"/>
    <col min="5" max="6" width="6.5703125" bestFit="1" customWidth="1"/>
    <col min="7" max="7" width="8.5703125" bestFit="1" customWidth="1"/>
    <col min="8" max="8" width="12.42578125" bestFit="1" customWidth="1"/>
    <col min="9" max="9" width="10" bestFit="1" customWidth="1"/>
    <col min="12" max="12" width="112.140625" bestFit="1" customWidth="1"/>
    <col min="13" max="13" width="33.28515625" customWidth="1"/>
  </cols>
  <sheetData>
    <row r="2" spans="2:13" ht="21" x14ac:dyDescent="0.25">
      <c r="B2" s="11" t="s">
        <v>22</v>
      </c>
      <c r="C2" s="11"/>
      <c r="D2" s="11"/>
      <c r="E2" s="11"/>
      <c r="F2" s="11"/>
      <c r="G2" s="11"/>
      <c r="H2" s="11"/>
      <c r="I2" s="11"/>
      <c r="J2" s="16"/>
      <c r="K2" s="16"/>
      <c r="L2" s="16"/>
      <c r="M2" s="16"/>
    </row>
    <row r="3" spans="2:13" ht="15.75" x14ac:dyDescent="0.25"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6"/>
      <c r="K3" s="16"/>
      <c r="L3" s="16"/>
      <c r="M3" s="16"/>
    </row>
    <row r="4" spans="2:13" x14ac:dyDescent="0.25">
      <c r="B4" s="18" t="s">
        <v>23</v>
      </c>
      <c r="C4" s="18" t="s">
        <v>24</v>
      </c>
      <c r="D4" s="18" t="s">
        <v>25</v>
      </c>
      <c r="E4" s="18" t="s">
        <v>26</v>
      </c>
      <c r="F4" s="18" t="s">
        <v>27</v>
      </c>
      <c r="G4" s="18" t="s">
        <v>28</v>
      </c>
      <c r="H4" s="18" t="s">
        <v>29</v>
      </c>
      <c r="I4" s="18" t="s">
        <v>30</v>
      </c>
      <c r="J4" s="16"/>
      <c r="K4" s="16"/>
      <c r="L4" s="16"/>
      <c r="M4" s="16"/>
    </row>
    <row r="5" spans="2:13" x14ac:dyDescent="0.25">
      <c r="B5" s="19" t="s">
        <v>31</v>
      </c>
      <c r="C5" s="19" t="s">
        <v>32</v>
      </c>
      <c r="D5" s="19" t="s">
        <v>33</v>
      </c>
      <c r="E5" s="20">
        <v>1998</v>
      </c>
      <c r="F5" s="19" t="s">
        <v>34</v>
      </c>
      <c r="G5" s="20">
        <v>130000</v>
      </c>
      <c r="H5" s="21">
        <v>12900</v>
      </c>
      <c r="I5" s="19" t="s">
        <v>35</v>
      </c>
      <c r="J5" s="16"/>
      <c r="K5" s="16"/>
      <c r="L5" s="10" t="s">
        <v>36</v>
      </c>
      <c r="M5" s="10"/>
    </row>
    <row r="6" spans="2:13" x14ac:dyDescent="0.25">
      <c r="B6" s="19" t="s">
        <v>37</v>
      </c>
      <c r="C6" s="19" t="s">
        <v>32</v>
      </c>
      <c r="D6" s="19" t="s">
        <v>38</v>
      </c>
      <c r="E6" s="20">
        <v>2002</v>
      </c>
      <c r="F6" s="19" t="s">
        <v>39</v>
      </c>
      <c r="G6" s="20">
        <v>11000</v>
      </c>
      <c r="H6" s="21">
        <v>16900</v>
      </c>
      <c r="I6" s="19" t="s">
        <v>35</v>
      </c>
      <c r="J6" s="16"/>
      <c r="K6" s="16"/>
      <c r="L6" s="1"/>
      <c r="M6" s="1"/>
    </row>
    <row r="7" spans="2:13" ht="15.75" x14ac:dyDescent="0.25">
      <c r="B7" s="19" t="s">
        <v>40</v>
      </c>
      <c r="C7" s="19" t="s">
        <v>41</v>
      </c>
      <c r="D7" s="19" t="s">
        <v>42</v>
      </c>
      <c r="E7" s="20">
        <v>2007</v>
      </c>
      <c r="F7" s="19" t="s">
        <v>43</v>
      </c>
      <c r="G7" s="20">
        <v>90800</v>
      </c>
      <c r="H7" s="21">
        <v>17900</v>
      </c>
      <c r="I7" s="19" t="s">
        <v>35</v>
      </c>
      <c r="J7" s="16"/>
      <c r="K7" s="16"/>
      <c r="L7" s="22" t="s">
        <v>23</v>
      </c>
      <c r="M7" s="23" t="s">
        <v>44</v>
      </c>
    </row>
    <row r="8" spans="2:13" ht="15.75" x14ac:dyDescent="0.25">
      <c r="B8" s="19" t="s">
        <v>45</v>
      </c>
      <c r="C8" s="19" t="s">
        <v>46</v>
      </c>
      <c r="D8" s="19" t="s">
        <v>47</v>
      </c>
      <c r="E8" s="20">
        <v>2009</v>
      </c>
      <c r="F8" s="19" t="s">
        <v>48</v>
      </c>
      <c r="G8" s="20">
        <v>98600</v>
      </c>
      <c r="H8" s="21">
        <v>18900</v>
      </c>
      <c r="I8" s="19" t="s">
        <v>35</v>
      </c>
      <c r="J8" s="16"/>
      <c r="K8" s="16"/>
      <c r="L8" s="24" t="s">
        <v>25</v>
      </c>
      <c r="M8" s="25" t="str">
        <f>VLOOKUP(M7,$B$4:$I$15,3,FALSE)</f>
        <v>207 Hatch XS 1.6 16V</v>
      </c>
    </row>
    <row r="9" spans="2:13" ht="15.75" x14ac:dyDescent="0.25">
      <c r="B9" s="19" t="s">
        <v>50</v>
      </c>
      <c r="C9" s="19" t="s">
        <v>51</v>
      </c>
      <c r="D9" s="19" t="s">
        <v>52</v>
      </c>
      <c r="E9" s="20">
        <v>2007</v>
      </c>
      <c r="F9" s="19" t="s">
        <v>39</v>
      </c>
      <c r="G9" s="20">
        <v>80000</v>
      </c>
      <c r="H9" s="21">
        <v>19900</v>
      </c>
      <c r="I9" s="19" t="s">
        <v>35</v>
      </c>
      <c r="J9" s="16"/>
      <c r="K9" s="16"/>
      <c r="L9" s="24" t="s">
        <v>26</v>
      </c>
      <c r="M9" s="25">
        <f>VLOOKUP(M7,$B$4:$I$15,4,FALSE)</f>
        <v>2009</v>
      </c>
    </row>
    <row r="10" spans="2:13" ht="15.75" x14ac:dyDescent="0.25">
      <c r="B10" s="19" t="s">
        <v>53</v>
      </c>
      <c r="C10" s="19" t="s">
        <v>54</v>
      </c>
      <c r="D10" s="19" t="s">
        <v>55</v>
      </c>
      <c r="E10" s="20">
        <v>2000</v>
      </c>
      <c r="F10" s="19" t="s">
        <v>56</v>
      </c>
      <c r="G10" s="20">
        <v>125000</v>
      </c>
      <c r="H10" s="21">
        <v>9900</v>
      </c>
      <c r="I10" s="19" t="s">
        <v>35</v>
      </c>
      <c r="J10" s="16"/>
      <c r="K10" s="16"/>
      <c r="L10" s="24" t="s">
        <v>27</v>
      </c>
      <c r="M10" s="25"/>
    </row>
    <row r="11" spans="2:13" ht="15.75" x14ac:dyDescent="0.25">
      <c r="B11" s="19" t="s">
        <v>57</v>
      </c>
      <c r="C11" s="19" t="s">
        <v>58</v>
      </c>
      <c r="D11" s="19" t="s">
        <v>59</v>
      </c>
      <c r="E11" s="20">
        <v>2000</v>
      </c>
      <c r="F11" s="19" t="s">
        <v>60</v>
      </c>
      <c r="G11" s="20">
        <v>147000</v>
      </c>
      <c r="H11" s="21">
        <v>17800</v>
      </c>
      <c r="I11" s="19" t="s">
        <v>61</v>
      </c>
      <c r="J11" s="16"/>
      <c r="K11" s="16"/>
      <c r="L11" s="24" t="s">
        <v>29</v>
      </c>
      <c r="M11" s="25"/>
    </row>
    <row r="12" spans="2:13" x14ac:dyDescent="0.25">
      <c r="B12" s="19" t="s">
        <v>44</v>
      </c>
      <c r="C12" s="19" t="s">
        <v>62</v>
      </c>
      <c r="D12" s="19" t="s">
        <v>49</v>
      </c>
      <c r="E12" s="20">
        <v>2009</v>
      </c>
      <c r="F12" s="19" t="s">
        <v>63</v>
      </c>
      <c r="G12" s="20">
        <v>92000</v>
      </c>
      <c r="H12" s="21">
        <v>21900</v>
      </c>
      <c r="I12" s="19" t="s">
        <v>61</v>
      </c>
      <c r="J12" s="16"/>
      <c r="K12" s="16"/>
      <c r="L12" s="16"/>
      <c r="M12" s="16"/>
    </row>
    <row r="13" spans="2:13" x14ac:dyDescent="0.25">
      <c r="B13" s="19" t="s">
        <v>64</v>
      </c>
      <c r="C13" s="19" t="s">
        <v>65</v>
      </c>
      <c r="D13" s="19" t="s">
        <v>66</v>
      </c>
      <c r="E13" s="20">
        <v>2004</v>
      </c>
      <c r="F13" s="19" t="s">
        <v>56</v>
      </c>
      <c r="G13" s="20">
        <v>102420</v>
      </c>
      <c r="H13" s="21">
        <v>24980</v>
      </c>
      <c r="I13" s="19" t="s">
        <v>61</v>
      </c>
      <c r="J13" s="16"/>
      <c r="K13" s="16"/>
      <c r="L13" s="16"/>
      <c r="M13" s="16"/>
    </row>
    <row r="14" spans="2:13" ht="15.75" x14ac:dyDescent="0.25">
      <c r="B14" s="19" t="s">
        <v>67</v>
      </c>
      <c r="C14" s="19" t="s">
        <v>54</v>
      </c>
      <c r="D14" s="19" t="s">
        <v>68</v>
      </c>
      <c r="E14" s="20">
        <v>2012</v>
      </c>
      <c r="F14" s="19" t="s">
        <v>39</v>
      </c>
      <c r="G14" s="20">
        <v>48075</v>
      </c>
      <c r="H14" s="21">
        <v>32990</v>
      </c>
      <c r="I14" s="19" t="s">
        <v>61</v>
      </c>
      <c r="J14" s="16"/>
      <c r="K14" s="16"/>
      <c r="L14" s="17" t="s">
        <v>69</v>
      </c>
      <c r="M14" s="16"/>
    </row>
    <row r="15" spans="2:13" ht="15.75" x14ac:dyDescent="0.25">
      <c r="B15" s="19" t="s">
        <v>70</v>
      </c>
      <c r="C15" s="19" t="s">
        <v>71</v>
      </c>
      <c r="D15" s="19" t="s">
        <v>72</v>
      </c>
      <c r="E15" s="20">
        <v>2013</v>
      </c>
      <c r="F15" s="19" t="s">
        <v>73</v>
      </c>
      <c r="G15" s="20">
        <v>28784</v>
      </c>
      <c r="H15" s="21">
        <v>55190</v>
      </c>
      <c r="I15" s="19" t="s">
        <v>61</v>
      </c>
      <c r="J15" s="16"/>
      <c r="K15" s="16"/>
      <c r="L15" s="17" t="s">
        <v>74</v>
      </c>
      <c r="M15" s="16"/>
    </row>
    <row r="16" spans="2:13" ht="15.75" x14ac:dyDescent="0.2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7" t="s">
        <v>75</v>
      </c>
      <c r="M16" s="16"/>
    </row>
    <row r="17" spans="12:12" ht="15.75" x14ac:dyDescent="0.25">
      <c r="L17" s="17" t="s">
        <v>76</v>
      </c>
    </row>
  </sheetData>
  <mergeCells count="2">
    <mergeCell ref="B2:I2"/>
    <mergeCell ref="L5:M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CCEF3-ABCA-4A94-9E89-8A9C567A005E}">
  <dimension ref="A1:H25"/>
  <sheetViews>
    <sheetView workbookViewId="0">
      <selection activeCell="K16" sqref="K16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26" bestFit="1" customWidth="1"/>
    <col min="4" max="5" width="6.5703125" bestFit="1" customWidth="1"/>
    <col min="6" max="6" width="8.5703125" bestFit="1" customWidth="1"/>
    <col min="7" max="7" width="12.42578125" bestFit="1" customWidth="1"/>
    <col min="8" max="8" width="10" bestFit="1" customWidth="1"/>
  </cols>
  <sheetData>
    <row r="1" spans="1:8" x14ac:dyDescent="0.25">
      <c r="A1" s="29" t="s">
        <v>23</v>
      </c>
      <c r="B1" s="29" t="s">
        <v>24</v>
      </c>
      <c r="C1" s="29" t="s">
        <v>25</v>
      </c>
      <c r="D1" s="29" t="s">
        <v>26</v>
      </c>
      <c r="E1" s="29" t="s">
        <v>27</v>
      </c>
      <c r="F1" s="29" t="s">
        <v>28</v>
      </c>
      <c r="G1" s="29" t="s">
        <v>29</v>
      </c>
      <c r="H1" s="29" t="s">
        <v>30</v>
      </c>
    </row>
    <row r="2" spans="1:8" x14ac:dyDescent="0.25">
      <c r="A2" s="30" t="s">
        <v>31</v>
      </c>
      <c r="B2" s="30" t="s">
        <v>32</v>
      </c>
      <c r="C2" s="30" t="s">
        <v>33</v>
      </c>
      <c r="D2" s="31">
        <v>1998</v>
      </c>
      <c r="E2" s="30" t="s">
        <v>34</v>
      </c>
      <c r="F2" s="31">
        <v>130000</v>
      </c>
      <c r="G2" s="32">
        <v>12900</v>
      </c>
      <c r="H2" s="30" t="s">
        <v>35</v>
      </c>
    </row>
    <row r="3" spans="1:8" x14ac:dyDescent="0.25">
      <c r="A3" s="30" t="s">
        <v>37</v>
      </c>
      <c r="B3" s="30" t="s">
        <v>32</v>
      </c>
      <c r="C3" s="30" t="s">
        <v>38</v>
      </c>
      <c r="D3" s="31">
        <v>2002</v>
      </c>
      <c r="E3" s="30" t="s">
        <v>39</v>
      </c>
      <c r="F3" s="31">
        <v>11000</v>
      </c>
      <c r="G3" s="32">
        <v>16900</v>
      </c>
      <c r="H3" s="30" t="s">
        <v>35</v>
      </c>
    </row>
    <row r="4" spans="1:8" x14ac:dyDescent="0.25">
      <c r="A4" s="30" t="s">
        <v>40</v>
      </c>
      <c r="B4" s="30" t="s">
        <v>41</v>
      </c>
      <c r="C4" s="30" t="s">
        <v>42</v>
      </c>
      <c r="D4" s="31">
        <v>2007</v>
      </c>
      <c r="E4" s="30" t="s">
        <v>43</v>
      </c>
      <c r="F4" s="31">
        <v>90800</v>
      </c>
      <c r="G4" s="32">
        <v>17900</v>
      </c>
      <c r="H4" s="30" t="s">
        <v>35</v>
      </c>
    </row>
    <row r="5" spans="1:8" x14ac:dyDescent="0.25">
      <c r="A5" s="30" t="s">
        <v>45</v>
      </c>
      <c r="B5" s="30" t="s">
        <v>46</v>
      </c>
      <c r="C5" s="30" t="s">
        <v>47</v>
      </c>
      <c r="D5" s="31">
        <v>2009</v>
      </c>
      <c r="E5" s="30" t="s">
        <v>48</v>
      </c>
      <c r="F5" s="31">
        <v>98600</v>
      </c>
      <c r="G5" s="32">
        <v>18900</v>
      </c>
      <c r="H5" s="30" t="s">
        <v>35</v>
      </c>
    </row>
    <row r="6" spans="1:8" x14ac:dyDescent="0.25">
      <c r="A6" s="30" t="s">
        <v>50</v>
      </c>
      <c r="B6" s="30" t="s">
        <v>51</v>
      </c>
      <c r="C6" s="30" t="s">
        <v>52</v>
      </c>
      <c r="D6" s="31">
        <v>2007</v>
      </c>
      <c r="E6" s="30" t="s">
        <v>39</v>
      </c>
      <c r="F6" s="31">
        <v>80000</v>
      </c>
      <c r="G6" s="32">
        <v>19900</v>
      </c>
      <c r="H6" s="30" t="s">
        <v>35</v>
      </c>
    </row>
    <row r="7" spans="1:8" x14ac:dyDescent="0.25">
      <c r="A7" s="30" t="s">
        <v>53</v>
      </c>
      <c r="B7" s="30" t="s">
        <v>54</v>
      </c>
      <c r="C7" s="30" t="s">
        <v>55</v>
      </c>
      <c r="D7" s="31">
        <v>2000</v>
      </c>
      <c r="E7" s="30" t="s">
        <v>56</v>
      </c>
      <c r="F7" s="31">
        <v>125000</v>
      </c>
      <c r="G7" s="32">
        <v>9900</v>
      </c>
      <c r="H7" s="30" t="s">
        <v>35</v>
      </c>
    </row>
    <row r="8" spans="1:8" x14ac:dyDescent="0.25">
      <c r="A8" s="30" t="s">
        <v>57</v>
      </c>
      <c r="B8" s="30" t="s">
        <v>58</v>
      </c>
      <c r="C8" s="30" t="s">
        <v>59</v>
      </c>
      <c r="D8" s="31">
        <v>2000</v>
      </c>
      <c r="E8" s="30" t="s">
        <v>60</v>
      </c>
      <c r="F8" s="31">
        <v>147000</v>
      </c>
      <c r="G8" s="32">
        <v>17800</v>
      </c>
      <c r="H8" s="30" t="s">
        <v>61</v>
      </c>
    </row>
    <row r="9" spans="1:8" x14ac:dyDescent="0.25">
      <c r="A9" s="30" t="s">
        <v>44</v>
      </c>
      <c r="B9" s="30" t="s">
        <v>62</v>
      </c>
      <c r="C9" s="30" t="s">
        <v>49</v>
      </c>
      <c r="D9" s="31">
        <v>2009</v>
      </c>
      <c r="E9" s="30" t="s">
        <v>63</v>
      </c>
      <c r="F9" s="31">
        <v>92000</v>
      </c>
      <c r="G9" s="32">
        <v>21900</v>
      </c>
      <c r="H9" s="30" t="s">
        <v>61</v>
      </c>
    </row>
    <row r="10" spans="1:8" x14ac:dyDescent="0.25">
      <c r="A10" s="30" t="s">
        <v>64</v>
      </c>
      <c r="B10" s="30" t="s">
        <v>65</v>
      </c>
      <c r="C10" s="30" t="s">
        <v>66</v>
      </c>
      <c r="D10" s="31">
        <v>2004</v>
      </c>
      <c r="E10" s="30" t="s">
        <v>56</v>
      </c>
      <c r="F10" s="31">
        <v>102420</v>
      </c>
      <c r="G10" s="32">
        <v>24980</v>
      </c>
      <c r="H10" s="30" t="s">
        <v>61</v>
      </c>
    </row>
    <row r="11" spans="1:8" x14ac:dyDescent="0.25">
      <c r="A11" s="30" t="s">
        <v>67</v>
      </c>
      <c r="B11" s="30" t="s">
        <v>54</v>
      </c>
      <c r="C11" s="30" t="s">
        <v>68</v>
      </c>
      <c r="D11" s="31">
        <v>2012</v>
      </c>
      <c r="E11" s="30" t="s">
        <v>39</v>
      </c>
      <c r="F11" s="31">
        <v>48075</v>
      </c>
      <c r="G11" s="32">
        <v>32990</v>
      </c>
      <c r="H11" s="30" t="s">
        <v>61</v>
      </c>
    </row>
    <row r="12" spans="1:8" x14ac:dyDescent="0.25">
      <c r="A12" s="30" t="s">
        <v>70</v>
      </c>
      <c r="B12" s="30" t="s">
        <v>71</v>
      </c>
      <c r="C12" s="30" t="s">
        <v>72</v>
      </c>
      <c r="D12" s="31">
        <v>2013</v>
      </c>
      <c r="E12" s="30" t="s">
        <v>73</v>
      </c>
      <c r="F12" s="31">
        <v>28784</v>
      </c>
      <c r="G12" s="32">
        <v>55190</v>
      </c>
      <c r="H12" s="30" t="s">
        <v>61</v>
      </c>
    </row>
    <row r="14" spans="1:8" x14ac:dyDescent="0.25">
      <c r="A14" s="29" t="s">
        <v>23</v>
      </c>
      <c r="B14" s="29" t="s">
        <v>24</v>
      </c>
      <c r="C14" s="29" t="s">
        <v>25</v>
      </c>
      <c r="D14" s="29" t="s">
        <v>26</v>
      </c>
      <c r="E14" s="29" t="s">
        <v>27</v>
      </c>
      <c r="F14" s="29" t="s">
        <v>28</v>
      </c>
      <c r="G14" s="29" t="s">
        <v>29</v>
      </c>
      <c r="H14" s="29" t="s">
        <v>30</v>
      </c>
    </row>
    <row r="15" spans="1:8" x14ac:dyDescent="0.25">
      <c r="A15" s="30" t="s">
        <v>77</v>
      </c>
      <c r="B15" s="30" t="str">
        <f>IFERROR(VLOOKUP($A15,$A$2:$H$12,2,FALSE),"não encontrado")</f>
        <v>não encontrado</v>
      </c>
      <c r="C15" s="30" t="str">
        <f t="shared" ref="C15:H25" si="0">IFERROR(VLOOKUP($A15,$A$2:$H$12,2,FALSE),"não encontrado")</f>
        <v>não encontrado</v>
      </c>
      <c r="D15" s="30" t="str">
        <f t="shared" si="0"/>
        <v>não encontrado</v>
      </c>
      <c r="E15" s="30" t="str">
        <f t="shared" si="0"/>
        <v>não encontrado</v>
      </c>
      <c r="F15" s="30" t="str">
        <f t="shared" si="0"/>
        <v>não encontrado</v>
      </c>
      <c r="G15" s="30" t="str">
        <f t="shared" si="0"/>
        <v>não encontrado</v>
      </c>
      <c r="H15" s="30" t="str">
        <f t="shared" si="0"/>
        <v>não encontrado</v>
      </c>
    </row>
    <row r="16" spans="1:8" x14ac:dyDescent="0.25">
      <c r="A16" s="30" t="s">
        <v>37</v>
      </c>
      <c r="B16" s="30" t="str">
        <f>IFERROR(VLOOKUP($A16,$A$2:$H$12,2,FALSE),"não encontrado")</f>
        <v>Chevrolet</v>
      </c>
      <c r="C16" s="30" t="str">
        <f>VLOOKUP($A16,$A$2:$H$12,3,FALSE)</f>
        <v>Astra Hatch CD 2.0 8V</v>
      </c>
      <c r="D16" s="30">
        <f>VLOOKUP($A16,$A$2:$H$12,4,FALSE)</f>
        <v>2002</v>
      </c>
      <c r="E16" s="30" t="str">
        <f>VLOOKUP($A16,$A$2:$H$12,5,FALSE)</f>
        <v>Prata</v>
      </c>
      <c r="F16" s="30">
        <f>VLOOKUP($A16,$A$2:$H$12,6,FALSE)</f>
        <v>11000</v>
      </c>
      <c r="G16" s="30">
        <f>VLOOKUP($A16,$A$2:$H$12,7,FALSE)</f>
        <v>16900</v>
      </c>
      <c r="H16" s="30" t="str">
        <f>VLOOKUP($A16,$A$2:$H$12,8,FALSE)</f>
        <v>Manual</v>
      </c>
    </row>
    <row r="17" spans="1:8" x14ac:dyDescent="0.25">
      <c r="A17" s="30" t="s">
        <v>40</v>
      </c>
      <c r="B17" s="30" t="str">
        <f t="shared" ref="B17:B25" si="1">VLOOKUP($A17,$A$2:$H$12,2,FALSE)</f>
        <v>Renault</v>
      </c>
      <c r="C17" s="30" t="str">
        <f t="shared" ref="C17:C25" si="2">VLOOKUP($A17,$A$2:$H$12,3,FALSE)</f>
        <v>Clio Sedan Privilége 1.0 16V</v>
      </c>
      <c r="D17" s="30">
        <f t="shared" ref="D17:D25" si="3">VLOOKUP($A17,$A$2:$H$12,4,FALSE)</f>
        <v>2007</v>
      </c>
      <c r="E17" s="30" t="str">
        <f t="shared" ref="E17:E25" si="4">VLOOKUP($A17,$A$2:$H$12,5,FALSE)</f>
        <v>Bege</v>
      </c>
      <c r="F17" s="30">
        <f t="shared" ref="F17:F25" si="5">VLOOKUP($A17,$A$2:$H$12,6,FALSE)</f>
        <v>90800</v>
      </c>
      <c r="G17" s="30">
        <f t="shared" ref="G17:G25" si="6">VLOOKUP($A17,$A$2:$H$12,7,FALSE)</f>
        <v>17900</v>
      </c>
      <c r="H17" s="30" t="str">
        <f t="shared" ref="H17:H25" si="7">VLOOKUP($A17,$A$2:$H$12,8,FALSE)</f>
        <v>Manual</v>
      </c>
    </row>
    <row r="18" spans="1:8" x14ac:dyDescent="0.25">
      <c r="A18" s="30" t="s">
        <v>45</v>
      </c>
      <c r="B18" s="30" t="str">
        <f t="shared" si="1"/>
        <v>Volkswagen</v>
      </c>
      <c r="C18" s="30" t="str">
        <f t="shared" si="2"/>
        <v>Gol 1.0 (G4)</v>
      </c>
      <c r="D18" s="30">
        <f t="shared" si="3"/>
        <v>2009</v>
      </c>
      <c r="E18" s="30" t="str">
        <f t="shared" si="4"/>
        <v>Preto</v>
      </c>
      <c r="F18" s="30">
        <f t="shared" si="5"/>
        <v>98600</v>
      </c>
      <c r="G18" s="30">
        <f t="shared" si="6"/>
        <v>18900</v>
      </c>
      <c r="H18" s="30" t="str">
        <f t="shared" si="7"/>
        <v>Manual</v>
      </c>
    </row>
    <row r="19" spans="1:8" x14ac:dyDescent="0.25">
      <c r="A19" s="30" t="s">
        <v>78</v>
      </c>
      <c r="B19" s="30" t="e">
        <f t="shared" si="1"/>
        <v>#N/A</v>
      </c>
      <c r="C19" s="30" t="e">
        <f t="shared" si="2"/>
        <v>#N/A</v>
      </c>
      <c r="D19" s="30" t="e">
        <f t="shared" si="3"/>
        <v>#N/A</v>
      </c>
      <c r="E19" s="30" t="e">
        <f t="shared" si="4"/>
        <v>#N/A</v>
      </c>
      <c r="F19" s="30" t="e">
        <f t="shared" si="5"/>
        <v>#N/A</v>
      </c>
      <c r="G19" s="30" t="e">
        <f t="shared" si="6"/>
        <v>#N/A</v>
      </c>
      <c r="H19" s="30" t="e">
        <f t="shared" si="7"/>
        <v>#N/A</v>
      </c>
    </row>
    <row r="20" spans="1:8" x14ac:dyDescent="0.25">
      <c r="A20" s="30" t="s">
        <v>53</v>
      </c>
      <c r="B20" s="30" t="str">
        <f t="shared" si="1"/>
        <v>Fiat</v>
      </c>
      <c r="C20" s="30" t="str">
        <f t="shared" si="2"/>
        <v>Palio EX 1.0 8V Fire</v>
      </c>
      <c r="D20" s="30">
        <f t="shared" si="3"/>
        <v>2000</v>
      </c>
      <c r="E20" s="30" t="str">
        <f t="shared" si="4"/>
        <v>Cinza</v>
      </c>
      <c r="F20" s="30">
        <f t="shared" si="5"/>
        <v>125000</v>
      </c>
      <c r="G20" s="30">
        <f t="shared" si="6"/>
        <v>9900</v>
      </c>
      <c r="H20" s="30" t="str">
        <f t="shared" si="7"/>
        <v>Manual</v>
      </c>
    </row>
    <row r="21" spans="1:8" x14ac:dyDescent="0.25">
      <c r="A21" s="30" t="s">
        <v>57</v>
      </c>
      <c r="B21" s="30" t="str">
        <f t="shared" si="1"/>
        <v>Toyota</v>
      </c>
      <c r="C21" s="30" t="str">
        <f t="shared" si="2"/>
        <v>Corolla Sedan Xei 1.8 16V</v>
      </c>
      <c r="D21" s="30">
        <f t="shared" si="3"/>
        <v>2000</v>
      </c>
      <c r="E21" s="30" t="str">
        <f t="shared" si="4"/>
        <v>Verde</v>
      </c>
      <c r="F21" s="30">
        <f t="shared" si="5"/>
        <v>147000</v>
      </c>
      <c r="G21" s="30">
        <f t="shared" si="6"/>
        <v>17800</v>
      </c>
      <c r="H21" s="30" t="str">
        <f t="shared" si="7"/>
        <v>Automático</v>
      </c>
    </row>
    <row r="22" spans="1:8" x14ac:dyDescent="0.25">
      <c r="A22" s="30" t="s">
        <v>44</v>
      </c>
      <c r="B22" s="30" t="str">
        <f t="shared" si="1"/>
        <v>Peugeot</v>
      </c>
      <c r="C22" s="30" t="str">
        <f t="shared" si="2"/>
        <v>207 Hatch XS 1.6 16V</v>
      </c>
      <c r="D22" s="30">
        <f t="shared" si="3"/>
        <v>2009</v>
      </c>
      <c r="E22" s="30" t="str">
        <f t="shared" si="4"/>
        <v>Vinho</v>
      </c>
      <c r="F22" s="30">
        <f t="shared" si="5"/>
        <v>92000</v>
      </c>
      <c r="G22" s="30">
        <f t="shared" si="6"/>
        <v>21900</v>
      </c>
      <c r="H22" s="30" t="str">
        <f t="shared" si="7"/>
        <v>Automático</v>
      </c>
    </row>
    <row r="23" spans="1:8" x14ac:dyDescent="0.25">
      <c r="A23" s="30" t="s">
        <v>64</v>
      </c>
      <c r="B23" s="30" t="str">
        <f t="shared" si="1"/>
        <v>Honda</v>
      </c>
      <c r="C23" s="30" t="str">
        <f t="shared" si="2"/>
        <v>Civic Sedan EX 1.7 16V</v>
      </c>
      <c r="D23" s="30">
        <f t="shared" si="3"/>
        <v>2004</v>
      </c>
      <c r="E23" s="30" t="str">
        <f t="shared" si="4"/>
        <v>Cinza</v>
      </c>
      <c r="F23" s="30">
        <f t="shared" si="5"/>
        <v>102420</v>
      </c>
      <c r="G23" s="30">
        <f t="shared" si="6"/>
        <v>24980</v>
      </c>
      <c r="H23" s="30" t="str">
        <f t="shared" si="7"/>
        <v>Automático</v>
      </c>
    </row>
    <row r="24" spans="1:8" x14ac:dyDescent="0.25">
      <c r="A24" s="30" t="s">
        <v>67</v>
      </c>
      <c r="B24" s="30" t="str">
        <f t="shared" si="1"/>
        <v>Fiat</v>
      </c>
      <c r="C24" s="30" t="str">
        <f t="shared" si="2"/>
        <v>Linea 1.8 16V Essence Dualogic</v>
      </c>
      <c r="D24" s="30">
        <f t="shared" si="3"/>
        <v>2012</v>
      </c>
      <c r="E24" s="30" t="str">
        <f t="shared" si="4"/>
        <v>Prata</v>
      </c>
      <c r="F24" s="30">
        <f t="shared" si="5"/>
        <v>48075</v>
      </c>
      <c r="G24" s="30">
        <f t="shared" si="6"/>
        <v>32990</v>
      </c>
      <c r="H24" s="30" t="str">
        <f t="shared" si="7"/>
        <v>Automático</v>
      </c>
    </row>
    <row r="25" spans="1:8" x14ac:dyDescent="0.25">
      <c r="A25" s="30" t="s">
        <v>70</v>
      </c>
      <c r="B25" s="30" t="str">
        <f t="shared" si="1"/>
        <v>Hyundai</v>
      </c>
      <c r="C25" s="30" t="str">
        <f t="shared" si="2"/>
        <v>Tucson GLS 2.0 16V</v>
      </c>
      <c r="D25" s="30">
        <f t="shared" si="3"/>
        <v>2013</v>
      </c>
      <c r="E25" s="30" t="str">
        <f t="shared" si="4"/>
        <v>Branco</v>
      </c>
      <c r="F25" s="30">
        <f t="shared" si="5"/>
        <v>28784</v>
      </c>
      <c r="G25" s="30">
        <f t="shared" si="6"/>
        <v>55190</v>
      </c>
      <c r="H25" s="30" t="str">
        <f t="shared" si="7"/>
        <v>Automático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3848-1124-4F43-9E13-0FA847097623}">
  <dimension ref="A2:F16"/>
  <sheetViews>
    <sheetView topLeftCell="A2" workbookViewId="0">
      <selection activeCell="F17" sqref="F17"/>
    </sheetView>
  </sheetViews>
  <sheetFormatPr defaultRowHeight="15" x14ac:dyDescent="0.25"/>
  <cols>
    <col min="2" max="2" width="10.42578125" bestFit="1" customWidth="1"/>
    <col min="3" max="4" width="11.7109375" bestFit="1" customWidth="1"/>
    <col min="5" max="5" width="14.5703125" customWidth="1"/>
    <col min="6" max="6" width="17.28515625" customWidth="1"/>
  </cols>
  <sheetData>
    <row r="2" spans="1:6" ht="21" x14ac:dyDescent="0.25">
      <c r="A2" s="33"/>
      <c r="B2" s="11" t="s">
        <v>79</v>
      </c>
      <c r="C2" s="11"/>
      <c r="D2" s="11"/>
      <c r="E2" s="11"/>
      <c r="F2" s="11"/>
    </row>
    <row r="3" spans="1:6" ht="15.75" thickBot="1" x14ac:dyDescent="0.3">
      <c r="A3" s="33"/>
      <c r="B3" s="33"/>
      <c r="C3" s="33"/>
      <c r="D3" s="33"/>
      <c r="E3" s="33"/>
      <c r="F3" s="33"/>
    </row>
    <row r="4" spans="1:6" ht="19.5" thickBot="1" x14ac:dyDescent="0.3">
      <c r="A4" s="33"/>
      <c r="B4" s="33"/>
      <c r="C4" s="28" t="s">
        <v>80</v>
      </c>
      <c r="D4" s="27"/>
      <c r="E4" s="27"/>
      <c r="F4" s="27"/>
    </row>
    <row r="5" spans="1:6" ht="16.5" thickBot="1" x14ac:dyDescent="0.3">
      <c r="A5" s="34">
        <v>1</v>
      </c>
      <c r="B5" s="36" t="s">
        <v>80</v>
      </c>
      <c r="C5" s="37" t="s">
        <v>81</v>
      </c>
      <c r="D5" s="38" t="s">
        <v>82</v>
      </c>
      <c r="E5" s="38" t="s">
        <v>83</v>
      </c>
      <c r="F5" s="38" t="s">
        <v>84</v>
      </c>
    </row>
    <row r="6" spans="1:6" ht="15.75" x14ac:dyDescent="0.25">
      <c r="A6" s="34">
        <v>2</v>
      </c>
      <c r="B6" s="39" t="s">
        <v>85</v>
      </c>
      <c r="C6" s="40">
        <v>83.1</v>
      </c>
      <c r="D6" s="40">
        <v>104.9</v>
      </c>
      <c r="E6" s="40">
        <v>132.58000000000001</v>
      </c>
      <c r="F6" s="40">
        <v>156.34</v>
      </c>
    </row>
    <row r="7" spans="1:6" ht="15.75" x14ac:dyDescent="0.25">
      <c r="A7" s="34">
        <v>3</v>
      </c>
      <c r="B7" s="39" t="s">
        <v>86</v>
      </c>
      <c r="C7" s="40">
        <v>95.21</v>
      </c>
      <c r="D7" s="40">
        <v>120.32</v>
      </c>
      <c r="E7" s="40">
        <v>152.06</v>
      </c>
      <c r="F7" s="40">
        <v>179.38</v>
      </c>
    </row>
    <row r="8" spans="1:6" ht="15.75" x14ac:dyDescent="0.25">
      <c r="A8" s="34">
        <v>4</v>
      </c>
      <c r="B8" s="39" t="s">
        <v>87</v>
      </c>
      <c r="C8" s="40">
        <v>102.24</v>
      </c>
      <c r="D8" s="40">
        <v>136.59</v>
      </c>
      <c r="E8" s="40">
        <v>182.47</v>
      </c>
      <c r="F8" s="40">
        <v>220.66333333333299</v>
      </c>
    </row>
    <row r="9" spans="1:6" ht="16.5" thickBot="1" x14ac:dyDescent="0.3">
      <c r="A9" s="34">
        <v>5</v>
      </c>
      <c r="B9" s="41" t="s">
        <v>88</v>
      </c>
      <c r="C9" s="42">
        <v>177.38</v>
      </c>
      <c r="D9" s="42">
        <v>242.74</v>
      </c>
      <c r="E9" s="42">
        <v>327.36</v>
      </c>
      <c r="F9" s="42">
        <v>399.14</v>
      </c>
    </row>
    <row r="11" spans="1:6" ht="18.75" x14ac:dyDescent="0.25">
      <c r="A11" s="33"/>
      <c r="B11" s="33"/>
      <c r="C11" s="33"/>
      <c r="D11" s="26" t="s">
        <v>89</v>
      </c>
      <c r="E11" s="26"/>
      <c r="F11" s="26"/>
    </row>
    <row r="12" spans="1:6" ht="15.75" x14ac:dyDescent="0.25">
      <c r="A12" s="33"/>
      <c r="B12" s="33"/>
      <c r="C12" s="33"/>
      <c r="D12" s="2" t="s">
        <v>90</v>
      </c>
      <c r="E12" s="2"/>
      <c r="F12" s="35" t="s">
        <v>83</v>
      </c>
    </row>
    <row r="13" spans="1:6" ht="15.75" x14ac:dyDescent="0.25">
      <c r="A13" s="33"/>
      <c r="B13" s="33"/>
      <c r="C13" s="33"/>
      <c r="D13" s="45" t="s">
        <v>91</v>
      </c>
      <c r="E13" s="43" t="s">
        <v>85</v>
      </c>
      <c r="F13" s="44">
        <f>HLOOKUP($F$12,$B$5:$F$9,2,FALSE)</f>
        <v>132.58000000000001</v>
      </c>
    </row>
    <row r="14" spans="1:6" ht="15.75" x14ac:dyDescent="0.25">
      <c r="A14" s="33"/>
      <c r="B14" s="33"/>
      <c r="C14" s="33"/>
      <c r="D14" s="45"/>
      <c r="E14" s="43" t="s">
        <v>86</v>
      </c>
      <c r="F14" s="44">
        <f>HLOOKUP($F$12,$B$5:$F$9,3,FALSE)</f>
        <v>152.06</v>
      </c>
    </row>
    <row r="15" spans="1:6" ht="15.75" x14ac:dyDescent="0.25">
      <c r="A15" s="33"/>
      <c r="B15" s="33"/>
      <c r="C15" s="33"/>
      <c r="D15" s="45"/>
      <c r="E15" s="43" t="s">
        <v>87</v>
      </c>
      <c r="F15" s="44">
        <f>HLOOKUP($F$12,$B$5:$F$9,4,FALSE)</f>
        <v>182.47</v>
      </c>
    </row>
    <row r="16" spans="1:6" ht="15.75" x14ac:dyDescent="0.25">
      <c r="A16" s="33"/>
      <c r="B16" s="33"/>
      <c r="C16" s="33"/>
      <c r="D16" s="45"/>
      <c r="E16" s="43" t="s">
        <v>88</v>
      </c>
      <c r="F16" s="44">
        <f>HLOOKUP($F$12,$B$5:$F$9,5,FALSE)</f>
        <v>327.36</v>
      </c>
    </row>
  </sheetData>
  <mergeCells count="5">
    <mergeCell ref="B2:F2"/>
    <mergeCell ref="C4:F4"/>
    <mergeCell ref="D11:F11"/>
    <mergeCell ref="D12:E12"/>
    <mergeCell ref="D13:D1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49EC-52DA-421D-89F8-CA1875FCB69C}">
  <dimension ref="B1:F17"/>
  <sheetViews>
    <sheetView workbookViewId="0">
      <selection activeCell="C17" sqref="C17"/>
    </sheetView>
  </sheetViews>
  <sheetFormatPr defaultRowHeight="15" x14ac:dyDescent="0.25"/>
  <cols>
    <col min="2" max="2" width="29.5703125" bestFit="1" customWidth="1"/>
    <col min="3" max="3" width="23.42578125" bestFit="1" customWidth="1"/>
    <col min="4" max="4" width="19.28515625" bestFit="1" customWidth="1"/>
    <col min="5" max="5" width="22.7109375" bestFit="1" customWidth="1"/>
    <col min="6" max="6" width="15.7109375" bestFit="1" customWidth="1"/>
  </cols>
  <sheetData>
    <row r="1" spans="2:6" x14ac:dyDescent="0.25">
      <c r="B1" s="46" t="s">
        <v>92</v>
      </c>
      <c r="C1" s="46"/>
      <c r="D1" s="46"/>
      <c r="E1" s="46"/>
      <c r="F1" s="46"/>
    </row>
    <row r="2" spans="2:6" ht="15.75" thickBot="1" x14ac:dyDescent="0.3">
      <c r="B2" s="49"/>
      <c r="C2" s="49"/>
      <c r="D2" s="49"/>
      <c r="E2" s="49"/>
      <c r="F2" s="49"/>
    </row>
    <row r="3" spans="2:6" ht="15.75" thickBot="1" x14ac:dyDescent="0.3">
      <c r="B3" s="48"/>
      <c r="C3" s="50" t="s">
        <v>93</v>
      </c>
      <c r="D3" s="51" t="s">
        <v>94</v>
      </c>
      <c r="E3" s="51" t="s">
        <v>95</v>
      </c>
      <c r="F3" s="52" t="s">
        <v>96</v>
      </c>
    </row>
    <row r="4" spans="2:6" x14ac:dyDescent="0.25">
      <c r="B4" s="53" t="s">
        <v>97</v>
      </c>
      <c r="C4" s="54" t="s">
        <v>93</v>
      </c>
      <c r="D4" s="55" t="s">
        <v>94</v>
      </c>
      <c r="E4" s="55" t="s">
        <v>98</v>
      </c>
      <c r="F4" s="56" t="s">
        <v>99</v>
      </c>
    </row>
    <row r="5" spans="2:6" x14ac:dyDescent="0.25">
      <c r="B5" s="57" t="s">
        <v>100</v>
      </c>
      <c r="C5" s="58" t="s">
        <v>101</v>
      </c>
      <c r="D5" s="59" t="s">
        <v>102</v>
      </c>
      <c r="E5" s="59" t="s">
        <v>103</v>
      </c>
      <c r="F5" s="60" t="s">
        <v>104</v>
      </c>
    </row>
    <row r="6" spans="2:6" x14ac:dyDescent="0.25">
      <c r="B6" s="57" t="s">
        <v>105</v>
      </c>
      <c r="C6" s="61">
        <v>248222.80100000001</v>
      </c>
      <c r="D6" s="62">
        <v>43780.171999999999</v>
      </c>
      <c r="E6" s="62">
        <v>586522.12199999997</v>
      </c>
      <c r="F6" s="63">
        <v>46095.582999999999</v>
      </c>
    </row>
    <row r="7" spans="2:6" x14ac:dyDescent="0.25">
      <c r="B7" s="57" t="s">
        <v>106</v>
      </c>
      <c r="C7" s="58" t="s">
        <v>107</v>
      </c>
      <c r="D7" s="59" t="s">
        <v>108</v>
      </c>
      <c r="E7" s="59" t="s">
        <v>109</v>
      </c>
      <c r="F7" s="60" t="s">
        <v>110</v>
      </c>
    </row>
    <row r="8" spans="2:6" ht="15.75" thickBot="1" x14ac:dyDescent="0.3">
      <c r="B8" s="64" t="s">
        <v>111</v>
      </c>
      <c r="C8" s="65" t="s">
        <v>112</v>
      </c>
      <c r="D8" s="66" t="s">
        <v>109</v>
      </c>
      <c r="E8" s="66" t="s">
        <v>113</v>
      </c>
      <c r="F8" s="67" t="s">
        <v>114</v>
      </c>
    </row>
    <row r="10" spans="2:6" x14ac:dyDescent="0.25">
      <c r="B10" s="46" t="s">
        <v>115</v>
      </c>
      <c r="C10" s="46"/>
      <c r="D10" s="48"/>
      <c r="E10" s="48"/>
      <c r="F10" s="48"/>
    </row>
    <row r="11" spans="2:6" ht="15.75" thickBot="1" x14ac:dyDescent="0.3">
      <c r="B11" s="49"/>
      <c r="C11" s="49"/>
      <c r="D11" s="48"/>
      <c r="E11" s="48"/>
      <c r="F11" s="48"/>
    </row>
    <row r="12" spans="2:6" ht="15.75" thickBot="1" x14ac:dyDescent="0.3">
      <c r="B12" s="68" t="s">
        <v>116</v>
      </c>
      <c r="C12" s="51" t="s">
        <v>94</v>
      </c>
      <c r="D12" s="48"/>
      <c r="E12" s="48"/>
      <c r="F12" s="48"/>
    </row>
    <row r="13" spans="2:6" x14ac:dyDescent="0.25">
      <c r="B13" s="69" t="s">
        <v>97</v>
      </c>
      <c r="C13" s="70" t="str">
        <f>HLOOKUP($C$12,$B$3:$F$8,2,FALSE)</f>
        <v>Rio de Janeiro</v>
      </c>
      <c r="D13" s="48"/>
      <c r="E13" s="48"/>
      <c r="F13" s="48"/>
    </row>
    <row r="14" spans="2:6" x14ac:dyDescent="0.25">
      <c r="B14" s="71" t="s">
        <v>100</v>
      </c>
      <c r="C14" s="72"/>
      <c r="D14" s="48"/>
      <c r="E14" s="48"/>
      <c r="F14" s="48"/>
    </row>
    <row r="15" spans="2:6" x14ac:dyDescent="0.25">
      <c r="B15" s="71" t="s">
        <v>105</v>
      </c>
      <c r="C15" s="73"/>
      <c r="D15" s="48"/>
      <c r="E15" s="48"/>
      <c r="F15" s="48"/>
    </row>
    <row r="16" spans="2:6" x14ac:dyDescent="0.25">
      <c r="B16" s="71" t="s">
        <v>106</v>
      </c>
      <c r="C16" s="72" t="str">
        <f>HLOOKUP($C$12,$B$3:$F$8,5,FALSE)</f>
        <v>Palácio Guanabara</v>
      </c>
      <c r="D16" s="48"/>
      <c r="E16" s="48"/>
      <c r="F16" s="48"/>
    </row>
    <row r="17" spans="2:3" ht="15.75" thickBot="1" x14ac:dyDescent="0.3">
      <c r="B17" s="74" t="s">
        <v>111</v>
      </c>
      <c r="C17" s="75"/>
    </row>
  </sheetData>
  <mergeCells count="2">
    <mergeCell ref="B1:F1"/>
    <mergeCell ref="B10:C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D4CC8-5B53-4A30-9EFD-0E52E1F39517}">
  <dimension ref="C2:T20"/>
  <sheetViews>
    <sheetView topLeftCell="G1" zoomScale="85" zoomScaleNormal="85" workbookViewId="0">
      <selection activeCell="Q20" sqref="Q20"/>
    </sheetView>
  </sheetViews>
  <sheetFormatPr defaultRowHeight="15" x14ac:dyDescent="0.25"/>
  <cols>
    <col min="3" max="3" width="14.28515625" customWidth="1"/>
    <col min="4" max="4" width="27.85546875" customWidth="1"/>
    <col min="5" max="5" width="27.42578125" customWidth="1"/>
    <col min="6" max="7" width="6.5703125" bestFit="1" customWidth="1"/>
    <col min="8" max="8" width="8.5703125" bestFit="1" customWidth="1"/>
    <col min="9" max="9" width="12.42578125" bestFit="1" customWidth="1"/>
    <col min="10" max="10" width="10" bestFit="1" customWidth="1"/>
    <col min="13" max="13" width="112.140625" bestFit="1" customWidth="1"/>
    <col min="14" max="14" width="21" bestFit="1" customWidth="1"/>
    <col min="16" max="16" width="29.5703125" bestFit="1" customWidth="1"/>
    <col min="17" max="17" width="28.140625" customWidth="1"/>
    <col min="18" max="18" width="19.28515625" bestFit="1" customWidth="1"/>
    <col min="19" max="19" width="22.7109375" bestFit="1" customWidth="1"/>
    <col min="20" max="20" width="15.7109375" bestFit="1" customWidth="1"/>
  </cols>
  <sheetData>
    <row r="2" spans="3:20" ht="21" x14ac:dyDescent="0.25">
      <c r="C2" s="11"/>
      <c r="D2" s="11"/>
      <c r="E2" s="11"/>
      <c r="F2" s="11"/>
      <c r="G2" s="11"/>
      <c r="H2" s="11"/>
      <c r="I2" s="11"/>
      <c r="J2" s="11"/>
      <c r="K2" s="76"/>
      <c r="L2" s="76"/>
      <c r="M2" s="76"/>
      <c r="N2" s="76"/>
      <c r="O2" s="76"/>
      <c r="P2" s="76"/>
      <c r="Q2" s="76"/>
      <c r="R2" s="76"/>
      <c r="S2" s="76"/>
      <c r="T2" s="76"/>
    </row>
    <row r="3" spans="3:20" ht="15.75" x14ac:dyDescent="0.25"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114"/>
      <c r="T3" s="76"/>
    </row>
    <row r="4" spans="3:20" x14ac:dyDescent="0.25">
      <c r="C4" s="78" t="s">
        <v>24</v>
      </c>
      <c r="D4" s="78" t="s">
        <v>25</v>
      </c>
      <c r="E4" s="78" t="s">
        <v>23</v>
      </c>
      <c r="F4" s="78" t="s">
        <v>26</v>
      </c>
      <c r="G4" s="78" t="s">
        <v>27</v>
      </c>
      <c r="H4" s="78" t="s">
        <v>28</v>
      </c>
      <c r="I4" s="78" t="s">
        <v>29</v>
      </c>
      <c r="J4" s="78" t="s">
        <v>30</v>
      </c>
      <c r="K4" s="76"/>
      <c r="L4" s="76"/>
      <c r="M4" s="76"/>
      <c r="N4" s="76"/>
      <c r="O4" s="76"/>
      <c r="P4" s="46" t="s">
        <v>92</v>
      </c>
      <c r="Q4" s="46"/>
      <c r="R4" s="46"/>
      <c r="S4" s="46"/>
      <c r="T4" s="46"/>
    </row>
    <row r="5" spans="3:20" ht="15.75" thickBot="1" x14ac:dyDescent="0.3">
      <c r="C5" s="79" t="s">
        <v>32</v>
      </c>
      <c r="D5" s="79" t="s">
        <v>33</v>
      </c>
      <c r="E5" s="79" t="s">
        <v>31</v>
      </c>
      <c r="F5" s="80">
        <v>1998</v>
      </c>
      <c r="G5" s="79" t="s">
        <v>34</v>
      </c>
      <c r="H5" s="80">
        <v>130000</v>
      </c>
      <c r="I5" s="81">
        <v>12900</v>
      </c>
      <c r="J5" s="79" t="s">
        <v>35</v>
      </c>
      <c r="K5" s="76"/>
      <c r="L5" s="76"/>
      <c r="M5" s="10" t="s">
        <v>36</v>
      </c>
      <c r="N5" s="10"/>
      <c r="O5" s="76"/>
      <c r="P5" s="86"/>
      <c r="Q5" s="86"/>
      <c r="R5" s="86"/>
      <c r="S5" s="86"/>
      <c r="T5" s="86"/>
    </row>
    <row r="6" spans="3:20" ht="15.75" thickBot="1" x14ac:dyDescent="0.3">
      <c r="C6" s="79" t="s">
        <v>32</v>
      </c>
      <c r="D6" s="79" t="s">
        <v>38</v>
      </c>
      <c r="E6" s="79" t="s">
        <v>37</v>
      </c>
      <c r="F6" s="80">
        <v>2002</v>
      </c>
      <c r="G6" s="79" t="s">
        <v>39</v>
      </c>
      <c r="H6" s="80">
        <v>11000</v>
      </c>
      <c r="I6" s="81">
        <v>16900</v>
      </c>
      <c r="J6" s="79" t="s">
        <v>35</v>
      </c>
      <c r="K6" s="76"/>
      <c r="L6" s="76"/>
      <c r="M6" s="1"/>
      <c r="N6" s="1"/>
      <c r="O6" s="76"/>
      <c r="P6" s="87"/>
      <c r="Q6" s="88" t="s">
        <v>93</v>
      </c>
      <c r="R6" s="89" t="s">
        <v>94</v>
      </c>
      <c r="S6" s="89" t="s">
        <v>95</v>
      </c>
      <c r="T6" s="90" t="s">
        <v>96</v>
      </c>
    </row>
    <row r="7" spans="3:20" ht="15.75" x14ac:dyDescent="0.25">
      <c r="C7" s="79" t="s">
        <v>41</v>
      </c>
      <c r="D7" s="79" t="s">
        <v>42</v>
      </c>
      <c r="E7" s="79" t="s">
        <v>40</v>
      </c>
      <c r="F7" s="80">
        <v>2007</v>
      </c>
      <c r="G7" s="79" t="s">
        <v>43</v>
      </c>
      <c r="H7" s="80">
        <v>90800</v>
      </c>
      <c r="I7" s="81">
        <v>17900</v>
      </c>
      <c r="J7" s="79" t="s">
        <v>35</v>
      </c>
      <c r="K7" s="76"/>
      <c r="L7" s="76"/>
      <c r="M7" s="82" t="s">
        <v>23</v>
      </c>
      <c r="N7" s="83" t="s">
        <v>44</v>
      </c>
      <c r="O7" s="76"/>
      <c r="P7" s="91" t="s">
        <v>97</v>
      </c>
      <c r="Q7" s="92" t="s">
        <v>93</v>
      </c>
      <c r="R7" s="93" t="s">
        <v>94</v>
      </c>
      <c r="S7" s="93" t="s">
        <v>98</v>
      </c>
      <c r="T7" s="94" t="s">
        <v>99</v>
      </c>
    </row>
    <row r="8" spans="3:20" ht="15.75" x14ac:dyDescent="0.25">
      <c r="C8" s="79" t="s">
        <v>46</v>
      </c>
      <c r="D8" s="79" t="s">
        <v>47</v>
      </c>
      <c r="E8" s="79" t="s">
        <v>45</v>
      </c>
      <c r="F8" s="80">
        <v>2009</v>
      </c>
      <c r="G8" s="79" t="s">
        <v>48</v>
      </c>
      <c r="H8" s="80">
        <v>98600</v>
      </c>
      <c r="I8" s="81">
        <v>18900</v>
      </c>
      <c r="J8" s="79" t="s">
        <v>35</v>
      </c>
      <c r="K8" s="76"/>
      <c r="L8" s="76"/>
      <c r="M8" s="84" t="s">
        <v>25</v>
      </c>
      <c r="N8" s="85" t="str">
        <f>_xlfn.XLOOKUP($N$7,$E$4:$E$15,$D$4:$D$15,"não encontrado",)</f>
        <v>207 Hatch XS 1.6 16V</v>
      </c>
      <c r="O8" s="76"/>
      <c r="P8" s="95" t="s">
        <v>100</v>
      </c>
      <c r="Q8" s="96" t="s">
        <v>101</v>
      </c>
      <c r="R8" s="97" t="s">
        <v>102</v>
      </c>
      <c r="S8" s="97" t="s">
        <v>103</v>
      </c>
      <c r="T8" s="98" t="s">
        <v>104</v>
      </c>
    </row>
    <row r="9" spans="3:20" ht="15.75" x14ac:dyDescent="0.25">
      <c r="C9" s="79" t="s">
        <v>51</v>
      </c>
      <c r="D9" s="79" t="s">
        <v>52</v>
      </c>
      <c r="E9" s="79" t="s">
        <v>50</v>
      </c>
      <c r="F9" s="80">
        <v>2007</v>
      </c>
      <c r="G9" s="79" t="s">
        <v>39</v>
      </c>
      <c r="H9" s="80">
        <v>80000</v>
      </c>
      <c r="I9" s="81">
        <v>19900</v>
      </c>
      <c r="J9" s="79" t="s">
        <v>35</v>
      </c>
      <c r="K9" s="76"/>
      <c r="L9" s="76"/>
      <c r="M9" s="84" t="s">
        <v>26</v>
      </c>
      <c r="N9" s="85"/>
      <c r="O9" s="76"/>
      <c r="P9" s="95" t="s">
        <v>105</v>
      </c>
      <c r="Q9" s="99">
        <v>248222.80100000001</v>
      </c>
      <c r="R9" s="100">
        <v>43780.171999999999</v>
      </c>
      <c r="S9" s="100">
        <v>586522.12199999997</v>
      </c>
      <c r="T9" s="101">
        <v>46095.582999999999</v>
      </c>
    </row>
    <row r="10" spans="3:20" ht="15.75" x14ac:dyDescent="0.25">
      <c r="C10" s="79" t="s">
        <v>54</v>
      </c>
      <c r="D10" s="79" t="s">
        <v>55</v>
      </c>
      <c r="E10" s="79" t="s">
        <v>53</v>
      </c>
      <c r="F10" s="80">
        <v>2000</v>
      </c>
      <c r="G10" s="79" t="s">
        <v>56</v>
      </c>
      <c r="H10" s="80">
        <v>125000</v>
      </c>
      <c r="I10" s="81">
        <v>9900</v>
      </c>
      <c r="J10" s="79" t="s">
        <v>35</v>
      </c>
      <c r="K10" s="76"/>
      <c r="L10" s="76"/>
      <c r="M10" s="84" t="s">
        <v>27</v>
      </c>
      <c r="N10" s="85"/>
      <c r="O10" s="76"/>
      <c r="P10" s="95" t="s">
        <v>106</v>
      </c>
      <c r="Q10" s="96" t="s">
        <v>107</v>
      </c>
      <c r="R10" s="97" t="s">
        <v>108</v>
      </c>
      <c r="S10" s="97" t="s">
        <v>109</v>
      </c>
      <c r="T10" s="98" t="s">
        <v>110</v>
      </c>
    </row>
    <row r="11" spans="3:20" ht="16.5" thickBot="1" x14ac:dyDescent="0.3">
      <c r="C11" s="79" t="s">
        <v>58</v>
      </c>
      <c r="D11" s="79" t="s">
        <v>59</v>
      </c>
      <c r="E11" s="79" t="s">
        <v>57</v>
      </c>
      <c r="F11" s="80">
        <v>2000</v>
      </c>
      <c r="G11" s="79" t="s">
        <v>60</v>
      </c>
      <c r="H11" s="80">
        <v>147000</v>
      </c>
      <c r="I11" s="81">
        <v>17800</v>
      </c>
      <c r="J11" s="79" t="s">
        <v>61</v>
      </c>
      <c r="K11" s="76"/>
      <c r="L11" s="76"/>
      <c r="M11" s="84" t="s">
        <v>29</v>
      </c>
      <c r="N11" s="85"/>
      <c r="O11" s="76"/>
      <c r="P11" s="102" t="s">
        <v>111</v>
      </c>
      <c r="Q11" s="103" t="s">
        <v>112</v>
      </c>
      <c r="R11" s="104" t="s">
        <v>109</v>
      </c>
      <c r="S11" s="104" t="s">
        <v>113</v>
      </c>
      <c r="T11" s="105" t="s">
        <v>114</v>
      </c>
    </row>
    <row r="12" spans="3:20" x14ac:dyDescent="0.25">
      <c r="C12" s="79" t="s">
        <v>62</v>
      </c>
      <c r="D12" s="79" t="s">
        <v>49</v>
      </c>
      <c r="E12" s="116" t="s">
        <v>44</v>
      </c>
      <c r="F12" s="80">
        <v>2009</v>
      </c>
      <c r="G12" s="79" t="s">
        <v>63</v>
      </c>
      <c r="H12" s="80">
        <v>92000</v>
      </c>
      <c r="I12" s="81">
        <v>21900</v>
      </c>
      <c r="J12" s="79" t="s">
        <v>61</v>
      </c>
      <c r="K12" s="76"/>
      <c r="L12" s="76"/>
      <c r="M12" s="76"/>
      <c r="N12" s="76"/>
      <c r="O12" s="76"/>
      <c r="P12" s="87"/>
      <c r="Q12" s="87"/>
      <c r="R12" s="87"/>
      <c r="S12" s="115"/>
      <c r="T12" s="87"/>
    </row>
    <row r="13" spans="3:20" x14ac:dyDescent="0.25">
      <c r="C13" s="79" t="s">
        <v>65</v>
      </c>
      <c r="D13" s="79" t="s">
        <v>66</v>
      </c>
      <c r="E13" s="79" t="s">
        <v>64</v>
      </c>
      <c r="F13" s="80">
        <v>2004</v>
      </c>
      <c r="G13" s="79" t="s">
        <v>56</v>
      </c>
      <c r="H13" s="80">
        <v>102420</v>
      </c>
      <c r="I13" s="81">
        <v>24980</v>
      </c>
      <c r="J13" s="79" t="s">
        <v>61</v>
      </c>
      <c r="K13" s="76"/>
      <c r="L13" s="76"/>
      <c r="M13" s="76"/>
      <c r="N13" s="76"/>
      <c r="O13" s="76"/>
      <c r="P13" s="46" t="s">
        <v>115</v>
      </c>
      <c r="Q13" s="46"/>
      <c r="R13" s="87"/>
      <c r="S13" s="115"/>
      <c r="T13" s="87"/>
    </row>
    <row r="14" spans="3:20" ht="16.5" thickBot="1" x14ac:dyDescent="0.3">
      <c r="C14" s="79" t="s">
        <v>54</v>
      </c>
      <c r="D14" s="79" t="s">
        <v>68</v>
      </c>
      <c r="E14" s="79" t="s">
        <v>67</v>
      </c>
      <c r="F14" s="80">
        <v>2012</v>
      </c>
      <c r="G14" s="79" t="s">
        <v>39</v>
      </c>
      <c r="H14" s="80">
        <v>48075</v>
      </c>
      <c r="I14" s="81">
        <v>32990</v>
      </c>
      <c r="J14" s="79" t="s">
        <v>61</v>
      </c>
      <c r="K14" s="76"/>
      <c r="L14" s="76"/>
      <c r="M14" s="77" t="s">
        <v>69</v>
      </c>
      <c r="N14" s="76"/>
      <c r="O14" s="76"/>
      <c r="P14" s="86"/>
      <c r="Q14" s="86"/>
      <c r="R14" s="87"/>
      <c r="S14" s="115"/>
      <c r="T14" s="87"/>
    </row>
    <row r="15" spans="3:20" ht="16.5" thickBot="1" x14ac:dyDescent="0.3">
      <c r="C15" s="79" t="s">
        <v>71</v>
      </c>
      <c r="D15" s="79" t="s">
        <v>72</v>
      </c>
      <c r="E15" s="79" t="s">
        <v>70</v>
      </c>
      <c r="F15" s="80">
        <v>2013</v>
      </c>
      <c r="G15" s="79" t="s">
        <v>73</v>
      </c>
      <c r="H15" s="80">
        <v>28784</v>
      </c>
      <c r="I15" s="81">
        <v>55190</v>
      </c>
      <c r="J15" s="79" t="s">
        <v>61</v>
      </c>
      <c r="K15" s="76"/>
      <c r="L15" s="76"/>
      <c r="M15" s="77" t="s">
        <v>74</v>
      </c>
      <c r="N15" s="76"/>
      <c r="O15" s="76"/>
      <c r="P15" s="106" t="s">
        <v>116</v>
      </c>
      <c r="Q15" s="88" t="s">
        <v>93</v>
      </c>
      <c r="R15" s="87"/>
      <c r="S15" s="115"/>
      <c r="T15" s="87"/>
    </row>
    <row r="16" spans="3:20" ht="15.75" x14ac:dyDescent="0.25"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7" t="s">
        <v>75</v>
      </c>
      <c r="N16" s="76"/>
      <c r="O16" s="76"/>
      <c r="P16" s="107" t="s">
        <v>97</v>
      </c>
      <c r="Q16" s="108"/>
      <c r="R16" s="87"/>
      <c r="S16" s="115"/>
      <c r="T16" s="87"/>
    </row>
    <row r="17" spans="13:20" ht="15.75" x14ac:dyDescent="0.25">
      <c r="M17" s="77" t="s">
        <v>76</v>
      </c>
      <c r="N17" s="76"/>
      <c r="O17" s="76"/>
      <c r="P17" s="109" t="s">
        <v>100</v>
      </c>
      <c r="Q17" s="110"/>
      <c r="R17" s="87"/>
      <c r="S17" s="115"/>
      <c r="T17" s="87"/>
    </row>
    <row r="18" spans="13:20" x14ac:dyDescent="0.25">
      <c r="M18" s="76"/>
      <c r="N18" s="76"/>
      <c r="O18" s="76"/>
      <c r="P18" s="109" t="s">
        <v>105</v>
      </c>
      <c r="Q18" s="111"/>
      <c r="R18" s="87"/>
      <c r="S18" s="115"/>
      <c r="T18" s="87"/>
    </row>
    <row r="19" spans="13:20" x14ac:dyDescent="0.25">
      <c r="M19" s="76"/>
      <c r="N19" s="76"/>
      <c r="O19" s="76"/>
      <c r="P19" s="109" t="s">
        <v>106</v>
      </c>
      <c r="Q19" s="110" t="str">
        <f>_xlfn.XLOOKUP($Q$15,$P$6:$T$6,$P$10:$T$10,,0)</f>
        <v>Palácio dos Bandeirantes</v>
      </c>
      <c r="R19" s="87"/>
      <c r="S19" s="115"/>
      <c r="T19" s="87"/>
    </row>
    <row r="20" spans="13:20" ht="15.75" thickBot="1" x14ac:dyDescent="0.3">
      <c r="M20" s="76"/>
      <c r="N20" s="76"/>
      <c r="O20" s="76"/>
      <c r="P20" s="112" t="s">
        <v>111</v>
      </c>
      <c r="Q20" s="113"/>
      <c r="R20" s="87"/>
      <c r="S20" s="115"/>
      <c r="T20" s="87"/>
    </row>
  </sheetData>
  <mergeCells count="4">
    <mergeCell ref="C2:J2"/>
    <mergeCell ref="M5:N6"/>
    <mergeCell ref="P4:T4"/>
    <mergeCell ref="P13:Q1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11203-6C9C-47FB-922C-0C5461AA6856}">
  <dimension ref="A1:K26"/>
  <sheetViews>
    <sheetView workbookViewId="0">
      <selection activeCell="G16" sqref="G16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9.42578125" bestFit="1" customWidth="1"/>
    <col min="4" max="4" width="10.5703125" bestFit="1" customWidth="1"/>
    <col min="5" max="5" width="14.28515625" bestFit="1" customWidth="1"/>
    <col min="7" max="7" width="12" bestFit="1" customWidth="1"/>
    <col min="8" max="8" width="15.85546875" bestFit="1" customWidth="1"/>
  </cols>
  <sheetData>
    <row r="1" spans="1:11" ht="15.75" thickBot="1" x14ac:dyDescent="0.3">
      <c r="A1" s="117"/>
      <c r="B1" s="117"/>
      <c r="C1" s="117"/>
      <c r="D1" s="117"/>
      <c r="E1" s="120"/>
      <c r="F1" s="117"/>
      <c r="G1" s="117"/>
      <c r="H1" s="117"/>
      <c r="I1" s="117"/>
      <c r="J1" s="117"/>
      <c r="K1" s="117"/>
    </row>
    <row r="2" spans="1:11" ht="16.5" thickBot="1" x14ac:dyDescent="0.3">
      <c r="A2" s="121" t="s">
        <v>117</v>
      </c>
      <c r="B2" s="121" t="s">
        <v>118</v>
      </c>
      <c r="C2" s="121" t="s">
        <v>119</v>
      </c>
      <c r="D2" s="121" t="s">
        <v>120</v>
      </c>
      <c r="E2" s="121" t="s">
        <v>121</v>
      </c>
      <c r="F2" s="117"/>
      <c r="G2" s="117"/>
      <c r="H2" s="117"/>
      <c r="I2" s="117"/>
      <c r="J2" s="117"/>
      <c r="K2" s="122"/>
    </row>
    <row r="3" spans="1:11" ht="15.75" x14ac:dyDescent="0.25">
      <c r="A3" s="123">
        <v>44370</v>
      </c>
      <c r="B3" s="124" t="s">
        <v>122</v>
      </c>
      <c r="C3" s="124">
        <v>24</v>
      </c>
      <c r="D3" s="125">
        <v>184.2</v>
      </c>
      <c r="E3" s="126">
        <v>300000</v>
      </c>
      <c r="F3" s="117"/>
      <c r="G3" s="117"/>
      <c r="H3" s="117"/>
      <c r="I3" s="117"/>
      <c r="J3" s="117"/>
      <c r="K3" s="122"/>
    </row>
    <row r="4" spans="1:11" ht="15.75" x14ac:dyDescent="0.25">
      <c r="A4" s="123">
        <v>44366</v>
      </c>
      <c r="B4" s="119" t="s">
        <v>122</v>
      </c>
      <c r="C4" s="119">
        <v>30</v>
      </c>
      <c r="D4" s="127">
        <v>503</v>
      </c>
      <c r="E4" s="126">
        <v>15090</v>
      </c>
      <c r="F4" s="117"/>
      <c r="G4" s="117"/>
      <c r="H4" s="117"/>
      <c r="I4" s="117"/>
      <c r="J4" s="117"/>
      <c r="K4" s="122"/>
    </row>
    <row r="5" spans="1:11" ht="15.75" x14ac:dyDescent="0.25">
      <c r="A5" s="123">
        <v>44376</v>
      </c>
      <c r="B5" s="119" t="s">
        <v>123</v>
      </c>
      <c r="C5" s="119">
        <v>36</v>
      </c>
      <c r="D5" s="127">
        <v>255</v>
      </c>
      <c r="E5" s="126">
        <v>9180</v>
      </c>
      <c r="F5" s="117"/>
      <c r="G5" s="118" t="s">
        <v>124</v>
      </c>
      <c r="H5" s="117"/>
      <c r="I5" s="117"/>
      <c r="J5" s="117"/>
      <c r="K5" s="117"/>
    </row>
    <row r="6" spans="1:11" ht="15.75" thickBot="1" x14ac:dyDescent="0.3">
      <c r="A6" s="123">
        <v>44374</v>
      </c>
      <c r="B6" s="119" t="s">
        <v>123</v>
      </c>
      <c r="C6" s="119">
        <v>74</v>
      </c>
      <c r="D6" s="127">
        <v>156</v>
      </c>
      <c r="E6" s="126">
        <v>11544</v>
      </c>
      <c r="F6" s="117"/>
      <c r="G6" s="117"/>
      <c r="H6" s="117"/>
      <c r="I6" s="117"/>
      <c r="J6" s="117"/>
      <c r="K6" s="117"/>
    </row>
    <row r="7" spans="1:11" ht="15.75" x14ac:dyDescent="0.25">
      <c r="A7" s="123">
        <v>44368</v>
      </c>
      <c r="B7" s="119" t="s">
        <v>122</v>
      </c>
      <c r="C7" s="119">
        <v>10</v>
      </c>
      <c r="D7" s="127">
        <v>708</v>
      </c>
      <c r="E7" s="126">
        <v>7080</v>
      </c>
      <c r="F7" s="117"/>
      <c r="G7" s="128" t="s">
        <v>118</v>
      </c>
      <c r="H7" s="129" t="s">
        <v>124</v>
      </c>
      <c r="I7" s="117"/>
      <c r="J7" s="118" t="s">
        <v>125</v>
      </c>
      <c r="K7" s="117"/>
    </row>
    <row r="8" spans="1:11" ht="16.5" thickBot="1" x14ac:dyDescent="0.3">
      <c r="A8" s="123">
        <v>44379</v>
      </c>
      <c r="B8" s="119" t="s">
        <v>126</v>
      </c>
      <c r="C8" s="119">
        <v>38</v>
      </c>
      <c r="D8" s="127">
        <v>559</v>
      </c>
      <c r="E8" s="126">
        <v>21242</v>
      </c>
      <c r="F8" s="117"/>
      <c r="G8" s="119" t="s">
        <v>122</v>
      </c>
      <c r="H8" s="130">
        <f>COUNTIF(B:B,G8)</f>
        <v>9</v>
      </c>
      <c r="I8" s="117"/>
      <c r="J8" s="118" t="s">
        <v>128</v>
      </c>
      <c r="K8" s="117"/>
    </row>
    <row r="9" spans="1:11" x14ac:dyDescent="0.25">
      <c r="A9" s="123">
        <v>44381</v>
      </c>
      <c r="B9" s="119" t="s">
        <v>127</v>
      </c>
      <c r="C9" s="119">
        <v>90</v>
      </c>
      <c r="D9" s="127">
        <v>981</v>
      </c>
      <c r="E9" s="126">
        <v>88290</v>
      </c>
      <c r="F9" s="117"/>
      <c r="G9" s="117"/>
      <c r="H9" s="117"/>
      <c r="I9" s="117"/>
      <c r="J9" s="117"/>
      <c r="K9" s="117"/>
    </row>
    <row r="10" spans="1:11" x14ac:dyDescent="0.25">
      <c r="A10" s="123">
        <v>44370</v>
      </c>
      <c r="B10" s="119" t="s">
        <v>127</v>
      </c>
      <c r="C10" s="119">
        <v>46</v>
      </c>
      <c r="D10" s="127">
        <v>779</v>
      </c>
      <c r="E10" s="126">
        <v>35834</v>
      </c>
      <c r="F10" s="117"/>
      <c r="G10" s="117"/>
      <c r="H10" s="117"/>
      <c r="I10" s="117"/>
      <c r="J10" s="117"/>
      <c r="K10" s="117"/>
    </row>
    <row r="11" spans="1:11" x14ac:dyDescent="0.25">
      <c r="A11" s="123">
        <v>44367</v>
      </c>
      <c r="B11" s="119" t="s">
        <v>126</v>
      </c>
      <c r="C11" s="119">
        <v>70</v>
      </c>
      <c r="D11" s="127">
        <v>199</v>
      </c>
      <c r="E11" s="126">
        <v>13930</v>
      </c>
      <c r="F11" s="117"/>
      <c r="G11" s="117"/>
      <c r="H11" s="117"/>
      <c r="I11" s="117"/>
      <c r="J11" s="117"/>
      <c r="K11" s="117"/>
    </row>
    <row r="12" spans="1:11" x14ac:dyDescent="0.25">
      <c r="A12" s="123">
        <v>44366</v>
      </c>
      <c r="B12" s="119" t="s">
        <v>123</v>
      </c>
      <c r="C12" s="119">
        <v>188</v>
      </c>
      <c r="D12" s="127">
        <v>212</v>
      </c>
      <c r="E12" s="126">
        <v>39856</v>
      </c>
      <c r="F12" s="117"/>
      <c r="G12" s="117"/>
      <c r="H12" s="117"/>
      <c r="I12" s="117"/>
      <c r="J12" s="117"/>
      <c r="K12" s="117"/>
    </row>
    <row r="13" spans="1:11" ht="15.75" x14ac:dyDescent="0.25">
      <c r="A13" s="123">
        <v>44365</v>
      </c>
      <c r="B13" s="119" t="s">
        <v>123</v>
      </c>
      <c r="C13" s="119">
        <v>156</v>
      </c>
      <c r="D13" s="127">
        <v>715</v>
      </c>
      <c r="E13" s="126">
        <v>111540</v>
      </c>
      <c r="F13" s="117"/>
      <c r="G13" s="118" t="s">
        <v>129</v>
      </c>
      <c r="H13" s="117"/>
      <c r="I13" s="117"/>
      <c r="J13" s="117"/>
      <c r="K13" s="117"/>
    </row>
    <row r="14" spans="1:11" ht="15.75" thickBot="1" x14ac:dyDescent="0.3">
      <c r="A14" s="123">
        <v>44367</v>
      </c>
      <c r="B14" s="119" t="s">
        <v>122</v>
      </c>
      <c r="C14" s="119">
        <v>240</v>
      </c>
      <c r="D14" s="127">
        <v>855</v>
      </c>
      <c r="E14" s="126">
        <v>205200</v>
      </c>
      <c r="F14" s="117"/>
      <c r="G14" s="117"/>
      <c r="H14" s="117"/>
      <c r="I14" s="117"/>
      <c r="J14" s="117"/>
      <c r="K14" s="117"/>
    </row>
    <row r="15" spans="1:11" ht="15.75" x14ac:dyDescent="0.25">
      <c r="A15" s="123">
        <v>44366</v>
      </c>
      <c r="B15" s="119" t="s">
        <v>122</v>
      </c>
      <c r="C15" s="119">
        <v>38</v>
      </c>
      <c r="D15" s="127">
        <v>373</v>
      </c>
      <c r="E15" s="126">
        <v>14174</v>
      </c>
      <c r="F15" s="117"/>
      <c r="G15" s="128" t="s">
        <v>118</v>
      </c>
      <c r="H15" s="128" t="s">
        <v>121</v>
      </c>
      <c r="I15" s="117"/>
      <c r="J15" s="118" t="s">
        <v>125</v>
      </c>
      <c r="K15" s="117"/>
    </row>
    <row r="16" spans="1:11" ht="16.5" thickBot="1" x14ac:dyDescent="0.3">
      <c r="A16" s="123">
        <v>44366</v>
      </c>
      <c r="B16" s="119" t="s">
        <v>126</v>
      </c>
      <c r="C16" s="119">
        <v>50</v>
      </c>
      <c r="D16" s="127">
        <v>578</v>
      </c>
      <c r="E16" s="126">
        <v>28900</v>
      </c>
      <c r="F16" s="117"/>
      <c r="G16" s="117" t="s">
        <v>126</v>
      </c>
      <c r="H16" s="131">
        <f>SUMIF(B:B,G16,E:E)</f>
        <v>64072</v>
      </c>
      <c r="I16" s="117"/>
      <c r="J16" s="118" t="s">
        <v>128</v>
      </c>
      <c r="K16" s="117"/>
    </row>
    <row r="17" spans="1:10" ht="15.75" x14ac:dyDescent="0.25">
      <c r="A17" s="123">
        <v>44366</v>
      </c>
      <c r="B17" s="119" t="s">
        <v>122</v>
      </c>
      <c r="C17" s="119">
        <v>188</v>
      </c>
      <c r="D17" s="127">
        <v>672</v>
      </c>
      <c r="E17" s="126">
        <v>126336</v>
      </c>
      <c r="F17" s="117"/>
      <c r="G17" s="117"/>
      <c r="H17" s="117"/>
      <c r="I17" s="117"/>
      <c r="J17" s="118" t="s">
        <v>130</v>
      </c>
    </row>
    <row r="18" spans="1:10" x14ac:dyDescent="0.25">
      <c r="A18" s="123">
        <v>44366</v>
      </c>
      <c r="B18" s="119" t="s">
        <v>122</v>
      </c>
      <c r="C18" s="119">
        <v>2</v>
      </c>
      <c r="D18" s="127">
        <v>324</v>
      </c>
      <c r="E18" s="126">
        <v>648</v>
      </c>
      <c r="F18" s="117"/>
      <c r="G18" s="117"/>
      <c r="H18" s="117"/>
      <c r="I18" s="117"/>
      <c r="J18" s="117"/>
    </row>
    <row r="19" spans="1:10" x14ac:dyDescent="0.25">
      <c r="A19" s="123">
        <v>44366</v>
      </c>
      <c r="B19" s="119" t="s">
        <v>127</v>
      </c>
      <c r="C19" s="119">
        <v>108</v>
      </c>
      <c r="D19" s="127">
        <v>791</v>
      </c>
      <c r="E19" s="126">
        <v>85428</v>
      </c>
      <c r="F19" s="117"/>
      <c r="G19" s="47" t="s">
        <v>118</v>
      </c>
      <c r="H19" s="47" t="s">
        <v>131</v>
      </c>
      <c r="I19" s="117"/>
      <c r="J19" s="117"/>
    </row>
    <row r="20" spans="1:10" x14ac:dyDescent="0.25">
      <c r="A20" s="123">
        <v>44366</v>
      </c>
      <c r="B20" s="119" t="s">
        <v>122</v>
      </c>
      <c r="C20" s="119">
        <v>244</v>
      </c>
      <c r="D20" s="127">
        <v>856</v>
      </c>
      <c r="E20" s="126">
        <v>208864</v>
      </c>
      <c r="F20" s="117"/>
      <c r="G20" s="132" t="s">
        <v>127</v>
      </c>
      <c r="H20" s="132"/>
      <c r="I20" s="117"/>
      <c r="J20" s="117"/>
    </row>
    <row r="21" spans="1:10" x14ac:dyDescent="0.25">
      <c r="A21" s="123">
        <v>44366</v>
      </c>
      <c r="B21" s="119" t="s">
        <v>122</v>
      </c>
      <c r="C21" s="119">
        <v>64</v>
      </c>
      <c r="D21" s="127">
        <v>894</v>
      </c>
      <c r="E21" s="126">
        <v>57216</v>
      </c>
      <c r="F21" s="117"/>
      <c r="G21" s="132" t="s">
        <v>122</v>
      </c>
      <c r="H21" s="132"/>
      <c r="I21" s="117"/>
      <c r="J21" s="117"/>
    </row>
    <row r="22" spans="1:10" x14ac:dyDescent="0.25">
      <c r="A22" s="117"/>
      <c r="B22" s="117"/>
      <c r="C22" s="117"/>
      <c r="D22" s="117"/>
      <c r="E22" s="117"/>
      <c r="F22" s="117"/>
      <c r="G22" s="132" t="s">
        <v>123</v>
      </c>
      <c r="H22" s="132"/>
      <c r="I22" s="117"/>
      <c r="J22" s="117"/>
    </row>
    <row r="23" spans="1:10" x14ac:dyDescent="0.25">
      <c r="A23" s="117"/>
      <c r="B23" s="117"/>
      <c r="C23" s="117"/>
      <c r="D23" s="117"/>
      <c r="E23" s="117"/>
      <c r="F23" s="117"/>
      <c r="G23" s="132" t="s">
        <v>126</v>
      </c>
      <c r="H23" s="132"/>
      <c r="I23" s="117"/>
      <c r="J23" s="117"/>
    </row>
    <row r="24" spans="1:10" ht="15.75" x14ac:dyDescent="0.25">
      <c r="A24" s="117"/>
      <c r="B24" s="117"/>
      <c r="C24" s="117"/>
      <c r="D24" s="117"/>
      <c r="E24" s="117"/>
      <c r="F24" s="117"/>
      <c r="G24" s="133"/>
      <c r="H24" s="133"/>
      <c r="I24" s="117"/>
      <c r="J24" s="117"/>
    </row>
    <row r="25" spans="1:10" ht="15.75" x14ac:dyDescent="0.25">
      <c r="A25" s="117"/>
      <c r="B25" s="117"/>
      <c r="C25" s="117"/>
      <c r="D25" s="117"/>
      <c r="E25" s="117"/>
      <c r="F25" s="117"/>
      <c r="G25" s="133"/>
      <c r="H25" s="133"/>
      <c r="I25" s="117"/>
      <c r="J25" s="117"/>
    </row>
    <row r="26" spans="1:10" ht="15.75" x14ac:dyDescent="0.25">
      <c r="A26" s="117"/>
      <c r="B26" s="117"/>
      <c r="C26" s="117"/>
      <c r="D26" s="117"/>
      <c r="E26" s="117"/>
      <c r="F26" s="117"/>
      <c r="G26" s="133"/>
      <c r="H26" s="133"/>
      <c r="I26" s="117"/>
      <c r="J26" s="117"/>
    </row>
  </sheetData>
  <dataValidations count="1">
    <dataValidation type="list" allowBlank="1" showInputMessage="1" showErrorMessage="1" sqref="L23 G16" xr:uid="{6CC4CEB6-6658-4C4D-84C2-E264D2BA0B25}">
      <formula1>$G$20:$G$23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B3469-5D8C-455E-A08F-8F16ABCAAB54}">
  <dimension ref="A1:M22"/>
  <sheetViews>
    <sheetView workbookViewId="0">
      <selection activeCell="J17" sqref="J17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13.140625" bestFit="1" customWidth="1"/>
    <col min="4" max="4" width="9.42578125" bestFit="1" customWidth="1"/>
    <col min="5" max="5" width="10.5703125" bestFit="1" customWidth="1"/>
    <col min="6" max="6" width="14.28515625" bestFit="1" customWidth="1"/>
    <col min="8" max="8" width="12" bestFit="1" customWidth="1"/>
    <col min="9" max="9" width="12.140625" bestFit="1" customWidth="1"/>
    <col min="10" max="10" width="14.28515625" bestFit="1" customWidth="1"/>
  </cols>
  <sheetData>
    <row r="1" spans="1:13" ht="15.75" thickBot="1" x14ac:dyDescent="0.3">
      <c r="A1" s="138"/>
      <c r="B1" s="138"/>
      <c r="C1" s="138"/>
      <c r="D1" s="138"/>
      <c r="E1" s="138"/>
      <c r="F1" s="142"/>
      <c r="G1" s="138"/>
      <c r="H1" s="138"/>
      <c r="I1" s="138"/>
      <c r="J1" s="138"/>
      <c r="K1" s="138"/>
      <c r="L1" s="138"/>
      <c r="M1" s="138"/>
    </row>
    <row r="2" spans="1:13" ht="16.5" thickBot="1" x14ac:dyDescent="0.3">
      <c r="A2" s="143" t="s">
        <v>117</v>
      </c>
      <c r="B2" s="143" t="s">
        <v>118</v>
      </c>
      <c r="C2" s="143" t="s">
        <v>131</v>
      </c>
      <c r="D2" s="143" t="s">
        <v>119</v>
      </c>
      <c r="E2" s="143" t="s">
        <v>120</v>
      </c>
      <c r="F2" s="143" t="s">
        <v>121</v>
      </c>
      <c r="G2" s="138"/>
      <c r="H2" s="138"/>
      <c r="I2" s="138"/>
      <c r="J2" s="138"/>
      <c r="K2" s="138"/>
      <c r="L2" s="138"/>
      <c r="M2" s="144"/>
    </row>
    <row r="3" spans="1:13" ht="15.75" x14ac:dyDescent="0.25">
      <c r="A3" s="145">
        <v>44370</v>
      </c>
      <c r="B3" s="146" t="s">
        <v>122</v>
      </c>
      <c r="C3" s="146" t="s">
        <v>136</v>
      </c>
      <c r="D3" s="146">
        <v>24</v>
      </c>
      <c r="E3" s="147">
        <v>184.2</v>
      </c>
      <c r="F3" s="148">
        <v>300000</v>
      </c>
      <c r="G3" s="138"/>
      <c r="H3" s="138"/>
      <c r="I3" s="144"/>
      <c r="J3" s="138"/>
      <c r="K3" s="138"/>
      <c r="L3" s="138"/>
      <c r="M3" s="144"/>
    </row>
    <row r="4" spans="1:13" ht="15.75" x14ac:dyDescent="0.25">
      <c r="A4" s="145">
        <v>44366</v>
      </c>
      <c r="B4" s="141" t="s">
        <v>122</v>
      </c>
      <c r="C4" s="141" t="s">
        <v>132</v>
      </c>
      <c r="D4" s="141">
        <v>30</v>
      </c>
      <c r="E4" s="149">
        <v>503</v>
      </c>
      <c r="F4" s="148">
        <v>15090</v>
      </c>
      <c r="G4" s="138"/>
      <c r="H4" s="138"/>
      <c r="I4" s="138"/>
      <c r="J4" s="138"/>
      <c r="K4" s="138"/>
      <c r="L4" s="138"/>
      <c r="M4" s="144"/>
    </row>
    <row r="5" spans="1:13" ht="15.75" x14ac:dyDescent="0.25">
      <c r="A5" s="145">
        <v>44376</v>
      </c>
      <c r="B5" s="141" t="s">
        <v>123</v>
      </c>
      <c r="C5" s="141" t="s">
        <v>137</v>
      </c>
      <c r="D5" s="141">
        <v>36</v>
      </c>
      <c r="E5" s="149">
        <v>255</v>
      </c>
      <c r="F5" s="148">
        <v>9180</v>
      </c>
      <c r="G5" s="138"/>
      <c r="H5" s="139" t="s">
        <v>138</v>
      </c>
      <c r="I5" s="138"/>
      <c r="J5" s="138"/>
      <c r="K5" s="138"/>
      <c r="L5" s="138"/>
      <c r="M5" s="138"/>
    </row>
    <row r="6" spans="1:13" ht="16.5" thickBot="1" x14ac:dyDescent="0.3">
      <c r="A6" s="145">
        <v>44374</v>
      </c>
      <c r="B6" s="141" t="s">
        <v>123</v>
      </c>
      <c r="C6" s="141" t="s">
        <v>132</v>
      </c>
      <c r="D6" s="141">
        <v>74</v>
      </c>
      <c r="E6" s="149">
        <v>156</v>
      </c>
      <c r="F6" s="148">
        <v>11544</v>
      </c>
      <c r="G6" s="138"/>
      <c r="H6" s="138"/>
      <c r="I6" s="138"/>
      <c r="J6" s="138"/>
      <c r="K6" s="138"/>
      <c r="L6" s="139" t="s">
        <v>139</v>
      </c>
      <c r="M6" s="138"/>
    </row>
    <row r="7" spans="1:13" ht="15.75" x14ac:dyDescent="0.25">
      <c r="A7" s="145">
        <v>44368</v>
      </c>
      <c r="B7" s="141" t="s">
        <v>122</v>
      </c>
      <c r="C7" s="141" t="s">
        <v>140</v>
      </c>
      <c r="D7" s="141">
        <v>10</v>
      </c>
      <c r="E7" s="149">
        <v>708</v>
      </c>
      <c r="F7" s="148">
        <v>7080</v>
      </c>
      <c r="G7" s="138"/>
      <c r="H7" s="150" t="s">
        <v>118</v>
      </c>
      <c r="I7" s="150" t="s">
        <v>131</v>
      </c>
      <c r="J7" s="150" t="s">
        <v>138</v>
      </c>
      <c r="K7" s="152"/>
      <c r="L7" s="139" t="s">
        <v>128</v>
      </c>
      <c r="M7" s="138"/>
    </row>
    <row r="8" spans="1:13" ht="15.75" thickBot="1" x14ac:dyDescent="0.3">
      <c r="A8" s="145">
        <v>44379</v>
      </c>
      <c r="B8" s="141" t="s">
        <v>126</v>
      </c>
      <c r="C8" s="141" t="s">
        <v>140</v>
      </c>
      <c r="D8" s="141">
        <v>38</v>
      </c>
      <c r="E8" s="149">
        <v>559</v>
      </c>
      <c r="F8" s="148">
        <v>21242</v>
      </c>
      <c r="G8" s="138"/>
      <c r="H8" s="157" t="s">
        <v>127</v>
      </c>
      <c r="I8" s="151" t="s">
        <v>133</v>
      </c>
      <c r="J8" s="151">
        <f>COUNTIFS(B:B,H8,C:C,I8)</f>
        <v>2</v>
      </c>
      <c r="K8" s="153"/>
      <c r="L8" s="138"/>
      <c r="M8" s="138"/>
    </row>
    <row r="9" spans="1:13" ht="15.75" x14ac:dyDescent="0.25">
      <c r="A9" s="145">
        <v>44381</v>
      </c>
      <c r="B9" s="141" t="s">
        <v>127</v>
      </c>
      <c r="C9" s="141" t="s">
        <v>132</v>
      </c>
      <c r="D9" s="141">
        <v>90</v>
      </c>
      <c r="E9" s="149">
        <v>981</v>
      </c>
      <c r="F9" s="148">
        <v>88290</v>
      </c>
      <c r="G9" s="138"/>
      <c r="H9" s="154" t="s">
        <v>141</v>
      </c>
      <c r="I9" s="154" t="s">
        <v>142</v>
      </c>
      <c r="J9" s="154" t="s">
        <v>143</v>
      </c>
      <c r="K9" s="138"/>
      <c r="L9" s="138"/>
      <c r="M9" s="138"/>
    </row>
    <row r="10" spans="1:13" x14ac:dyDescent="0.25">
      <c r="A10" s="145">
        <v>44370</v>
      </c>
      <c r="B10" s="141" t="s">
        <v>127</v>
      </c>
      <c r="C10" s="141" t="s">
        <v>137</v>
      </c>
      <c r="D10" s="141">
        <v>46</v>
      </c>
      <c r="E10" s="149">
        <v>779</v>
      </c>
      <c r="F10" s="148">
        <v>35834</v>
      </c>
      <c r="G10" s="138"/>
      <c r="H10" s="138"/>
      <c r="I10" s="138"/>
      <c r="J10" s="138"/>
      <c r="K10" s="138"/>
      <c r="L10" s="138"/>
      <c r="M10" s="138"/>
    </row>
    <row r="11" spans="1:13" x14ac:dyDescent="0.25">
      <c r="A11" s="145">
        <v>44367</v>
      </c>
      <c r="B11" s="141" t="s">
        <v>126</v>
      </c>
      <c r="C11" s="141" t="s">
        <v>144</v>
      </c>
      <c r="D11" s="141">
        <v>70</v>
      </c>
      <c r="E11" s="149">
        <v>199</v>
      </c>
      <c r="F11" s="148">
        <v>13930</v>
      </c>
      <c r="G11" s="138"/>
      <c r="H11" s="138"/>
      <c r="I11" s="138"/>
      <c r="J11" s="138"/>
      <c r="K11" s="138"/>
      <c r="L11" s="138"/>
      <c r="M11" s="138"/>
    </row>
    <row r="12" spans="1:13" x14ac:dyDescent="0.25">
      <c r="A12" s="145">
        <v>44366</v>
      </c>
      <c r="B12" s="141" t="s">
        <v>123</v>
      </c>
      <c r="C12" s="141" t="s">
        <v>136</v>
      </c>
      <c r="D12" s="141">
        <v>188</v>
      </c>
      <c r="E12" s="149">
        <v>212</v>
      </c>
      <c r="F12" s="148">
        <v>39856</v>
      </c>
      <c r="G12" s="138"/>
      <c r="H12" s="138"/>
      <c r="I12" s="138"/>
      <c r="J12" s="138"/>
      <c r="K12" s="138"/>
      <c r="L12" s="138"/>
      <c r="M12" s="138"/>
    </row>
    <row r="13" spans="1:13" ht="15.75" x14ac:dyDescent="0.25">
      <c r="A13" s="145">
        <v>44365</v>
      </c>
      <c r="B13" s="141" t="s">
        <v>123</v>
      </c>
      <c r="C13" s="141" t="s">
        <v>136</v>
      </c>
      <c r="D13" s="141">
        <v>156</v>
      </c>
      <c r="E13" s="149">
        <v>715</v>
      </c>
      <c r="F13" s="148">
        <v>111540</v>
      </c>
      <c r="G13" s="138"/>
      <c r="H13" s="139" t="s">
        <v>145</v>
      </c>
      <c r="I13" s="138"/>
      <c r="J13" s="138"/>
      <c r="K13" s="138"/>
      <c r="L13" s="138"/>
      <c r="M13" s="138"/>
    </row>
    <row r="14" spans="1:13" ht="15.75" thickBot="1" x14ac:dyDescent="0.3">
      <c r="A14" s="145">
        <v>44367</v>
      </c>
      <c r="B14" s="141" t="s">
        <v>122</v>
      </c>
      <c r="C14" s="141" t="s">
        <v>132</v>
      </c>
      <c r="D14" s="141">
        <v>240</v>
      </c>
      <c r="E14" s="149">
        <v>855</v>
      </c>
      <c r="F14" s="148">
        <v>205200</v>
      </c>
      <c r="G14" s="138"/>
      <c r="H14" s="138"/>
      <c r="I14" s="138"/>
      <c r="J14" s="138"/>
      <c r="K14" s="138"/>
      <c r="L14" s="138"/>
      <c r="M14" s="138"/>
    </row>
    <row r="15" spans="1:13" ht="15.75" x14ac:dyDescent="0.25">
      <c r="A15" s="145">
        <v>44366</v>
      </c>
      <c r="B15" s="141" t="s">
        <v>122</v>
      </c>
      <c r="C15" s="141" t="s">
        <v>140</v>
      </c>
      <c r="D15" s="141">
        <v>38</v>
      </c>
      <c r="E15" s="149">
        <v>373</v>
      </c>
      <c r="F15" s="148">
        <v>14174</v>
      </c>
      <c r="G15" s="138"/>
      <c r="H15" s="150" t="s">
        <v>118</v>
      </c>
      <c r="I15" s="150" t="s">
        <v>131</v>
      </c>
      <c r="J15" s="150" t="s">
        <v>121</v>
      </c>
      <c r="K15" s="138"/>
      <c r="L15" s="139" t="s">
        <v>139</v>
      </c>
      <c r="M15" s="138"/>
    </row>
    <row r="16" spans="1:13" ht="16.5" thickBot="1" x14ac:dyDescent="0.3">
      <c r="A16" s="145">
        <v>44366</v>
      </c>
      <c r="B16" s="141" t="s">
        <v>126</v>
      </c>
      <c r="C16" s="141" t="s">
        <v>144</v>
      </c>
      <c r="D16" s="141">
        <v>50</v>
      </c>
      <c r="E16" s="149">
        <v>578</v>
      </c>
      <c r="F16" s="148">
        <v>28900</v>
      </c>
      <c r="G16" s="138"/>
      <c r="H16" s="151" t="s">
        <v>122</v>
      </c>
      <c r="I16" s="151" t="s">
        <v>132</v>
      </c>
      <c r="J16" s="155">
        <f>SUMIFS(F:F,C:C,I16,B:B,H16)</f>
        <v>220290</v>
      </c>
      <c r="K16" s="138"/>
      <c r="L16" s="139" t="s">
        <v>128</v>
      </c>
      <c r="M16" s="138"/>
    </row>
    <row r="17" spans="1:12" ht="16.5" thickBot="1" x14ac:dyDescent="0.3">
      <c r="A17" s="145">
        <v>44366</v>
      </c>
      <c r="B17" s="141" t="s">
        <v>122</v>
      </c>
      <c r="C17" s="141" t="s">
        <v>140</v>
      </c>
      <c r="D17" s="141">
        <v>188</v>
      </c>
      <c r="E17" s="149">
        <v>672</v>
      </c>
      <c r="F17" s="148">
        <v>126336</v>
      </c>
      <c r="G17" s="138"/>
      <c r="H17" s="138"/>
      <c r="I17" s="138"/>
      <c r="J17" s="138"/>
      <c r="K17" s="138"/>
      <c r="L17" s="139" t="s">
        <v>146</v>
      </c>
    </row>
    <row r="18" spans="1:12" ht="15.75" thickBot="1" x14ac:dyDescent="0.3">
      <c r="A18" s="145">
        <v>44366</v>
      </c>
      <c r="B18" s="141" t="s">
        <v>122</v>
      </c>
      <c r="C18" s="141" t="s">
        <v>136</v>
      </c>
      <c r="D18" s="141">
        <v>2</v>
      </c>
      <c r="E18" s="149">
        <v>324</v>
      </c>
      <c r="F18" s="148">
        <v>648</v>
      </c>
      <c r="G18" s="138"/>
      <c r="H18" s="156" t="s">
        <v>118</v>
      </c>
      <c r="I18" s="156" t="s">
        <v>131</v>
      </c>
      <c r="J18" s="138"/>
      <c r="K18" s="138"/>
      <c r="L18" s="138"/>
    </row>
    <row r="19" spans="1:12" x14ac:dyDescent="0.25">
      <c r="A19" s="145">
        <v>44366</v>
      </c>
      <c r="B19" s="141" t="s">
        <v>127</v>
      </c>
      <c r="C19" s="141" t="s">
        <v>137</v>
      </c>
      <c r="D19" s="141">
        <v>108</v>
      </c>
      <c r="E19" s="149">
        <v>791</v>
      </c>
      <c r="F19" s="148">
        <v>85428</v>
      </c>
      <c r="G19" s="138"/>
      <c r="H19" s="157" t="s">
        <v>127</v>
      </c>
      <c r="I19" s="157" t="s">
        <v>132</v>
      </c>
      <c r="J19" s="138"/>
      <c r="K19" s="138"/>
      <c r="L19" s="138"/>
    </row>
    <row r="20" spans="1:12" x14ac:dyDescent="0.25">
      <c r="A20" s="145">
        <v>44366</v>
      </c>
      <c r="B20" s="141" t="s">
        <v>122</v>
      </c>
      <c r="C20" s="141" t="s">
        <v>136</v>
      </c>
      <c r="D20" s="141">
        <v>244</v>
      </c>
      <c r="E20" s="149">
        <v>856</v>
      </c>
      <c r="F20" s="148">
        <v>208864</v>
      </c>
      <c r="G20" s="138"/>
      <c r="H20" s="158" t="s">
        <v>122</v>
      </c>
      <c r="I20" s="158" t="s">
        <v>133</v>
      </c>
      <c r="J20" s="138"/>
      <c r="K20" s="138"/>
      <c r="L20" s="138"/>
    </row>
    <row r="21" spans="1:12" x14ac:dyDescent="0.25">
      <c r="A21" s="145">
        <v>44366</v>
      </c>
      <c r="B21" s="141" t="s">
        <v>122</v>
      </c>
      <c r="C21" s="141" t="s">
        <v>136</v>
      </c>
      <c r="D21" s="141">
        <v>64</v>
      </c>
      <c r="E21" s="149">
        <v>894</v>
      </c>
      <c r="F21" s="148">
        <v>57216</v>
      </c>
      <c r="G21" s="138"/>
      <c r="H21" s="157" t="s">
        <v>123</v>
      </c>
      <c r="I21" s="157" t="s">
        <v>134</v>
      </c>
      <c r="J21" s="138"/>
      <c r="K21" s="138"/>
      <c r="L21" s="138"/>
    </row>
    <row r="22" spans="1:12" x14ac:dyDescent="0.25">
      <c r="A22" s="138"/>
      <c r="B22" s="138"/>
      <c r="C22" s="138"/>
      <c r="D22" s="138"/>
      <c r="E22" s="138"/>
      <c r="F22" s="138"/>
      <c r="G22" s="138"/>
      <c r="H22" s="157" t="s">
        <v>126</v>
      </c>
      <c r="I22" s="157" t="s">
        <v>135</v>
      </c>
      <c r="J22" s="138"/>
      <c r="K22" s="138"/>
      <c r="L22" s="13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1° Data M</vt:lpstr>
      <vt:lpstr>2° Esq Direita</vt:lpstr>
      <vt:lpstr>3° Procv</vt:lpstr>
      <vt:lpstr>4° Procv2</vt:lpstr>
      <vt:lpstr>5°proch</vt:lpstr>
      <vt:lpstr>6°Proch2</vt:lpstr>
      <vt:lpstr>7°Procv,Proch,ProcX</vt:lpstr>
      <vt:lpstr>8°Cont.se.Soma.se</vt:lpstr>
      <vt:lpstr>9. Cont.ses soma.ses</vt:lpstr>
      <vt:lpstr>10° formatação condicional</vt:lpstr>
      <vt:lpstr>Planilha10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Petrolini</dc:creator>
  <cp:lastModifiedBy>Gustavo Antony Petrolini</cp:lastModifiedBy>
  <dcterms:created xsi:type="dcterms:W3CDTF">2015-06-05T18:19:34Z</dcterms:created>
  <dcterms:modified xsi:type="dcterms:W3CDTF">2025-08-07T17:03:16Z</dcterms:modified>
</cp:coreProperties>
</file>