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Objects="placeholders" showInkAnnotation="0" autoCompressPictures="0"/>
  <bookViews>
    <workbookView xWindow="20" yWindow="-100" windowWidth="34400" windowHeight="22680" tabRatio="500"/>
  </bookViews>
  <sheets>
    <sheet name="Averages" sheetId="1" r:id="rId1"/>
    <sheet name="Std. Dev." sheetId="2" r:id="rId2"/>
    <sheet name="Std. Dev. of Mean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96" i="1"/>
  <c r="P101"/>
  <c r="Q101"/>
  <c r="O101"/>
  <c r="N101"/>
  <c r="M101"/>
  <c r="P98"/>
  <c r="Q98"/>
  <c r="O98"/>
  <c r="N98"/>
  <c r="M98"/>
  <c r="P97"/>
  <c r="Q97"/>
  <c r="O97"/>
  <c r="N97"/>
  <c r="M97"/>
  <c r="P95"/>
  <c r="Q95"/>
  <c r="O95"/>
  <c r="N95"/>
  <c r="M95"/>
  <c r="P94"/>
  <c r="Q94"/>
  <c r="O94"/>
  <c r="N94"/>
  <c r="M94"/>
  <c r="P88"/>
  <c r="Q88"/>
  <c r="O88"/>
  <c r="N88"/>
  <c r="M88"/>
  <c r="C88"/>
  <c r="D88"/>
  <c r="E88"/>
  <c r="F88"/>
  <c r="G88"/>
  <c r="H88"/>
  <c r="I88"/>
  <c r="J88"/>
  <c r="K88"/>
  <c r="L88"/>
  <c r="B88"/>
  <c r="P78"/>
  <c r="Q78"/>
  <c r="O78"/>
  <c r="N78"/>
  <c r="M78"/>
  <c r="T8"/>
  <c r="B87"/>
  <c r="C87"/>
  <c r="D87"/>
  <c r="E87"/>
  <c r="F87"/>
  <c r="G87"/>
  <c r="H87"/>
  <c r="I87"/>
  <c r="J87"/>
  <c r="K87"/>
  <c r="L87"/>
  <c r="P87"/>
  <c r="Q87"/>
  <c r="O87"/>
  <c r="N87"/>
  <c r="M87"/>
  <c r="T2"/>
  <c r="B86"/>
  <c r="C86"/>
  <c r="D86"/>
  <c r="E86"/>
  <c r="F86"/>
  <c r="G86"/>
  <c r="H86"/>
  <c r="I86"/>
  <c r="J86"/>
  <c r="K86"/>
  <c r="L86"/>
  <c r="P86"/>
  <c r="Q86"/>
  <c r="O86"/>
  <c r="N86"/>
  <c r="M86"/>
  <c r="P102"/>
  <c r="Q102"/>
  <c r="O102"/>
  <c r="N102"/>
  <c r="M102"/>
  <c r="P100"/>
  <c r="Q100"/>
  <c r="O100"/>
  <c r="N100"/>
  <c r="M100"/>
  <c r="P96"/>
  <c r="Q96"/>
  <c r="O96"/>
  <c r="N96"/>
  <c r="M93"/>
  <c r="N93"/>
  <c r="O93"/>
  <c r="P93"/>
  <c r="Q93"/>
  <c r="T4"/>
  <c r="B90"/>
  <c r="B91"/>
  <c r="B92"/>
  <c r="C90"/>
  <c r="C91"/>
  <c r="C92"/>
  <c r="D90"/>
  <c r="D91"/>
  <c r="D92"/>
  <c r="E90"/>
  <c r="E91"/>
  <c r="E92"/>
  <c r="F90"/>
  <c r="F91"/>
  <c r="F92"/>
  <c r="G90"/>
  <c r="G91"/>
  <c r="G92"/>
  <c r="H90"/>
  <c r="H91"/>
  <c r="H92"/>
  <c r="I90"/>
  <c r="I91"/>
  <c r="I92"/>
  <c r="J90"/>
  <c r="J91"/>
  <c r="J92"/>
  <c r="K90"/>
  <c r="K91"/>
  <c r="K92"/>
  <c r="L90"/>
  <c r="L91"/>
  <c r="L92"/>
  <c r="M92"/>
  <c r="N92"/>
  <c r="O92"/>
  <c r="P92"/>
  <c r="Q92"/>
  <c r="P91"/>
  <c r="Q91"/>
  <c r="O91"/>
  <c r="N91"/>
  <c r="M91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P79"/>
  <c r="Q79"/>
  <c r="O79"/>
  <c r="N79"/>
  <c r="M79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B54"/>
  <c r="C54"/>
  <c r="D54"/>
  <c r="E54"/>
  <c r="F54"/>
  <c r="G54"/>
  <c r="H54"/>
  <c r="I54"/>
  <c r="J54"/>
  <c r="K54"/>
  <c r="L54"/>
  <c r="N54"/>
  <c r="O54"/>
  <c r="C55"/>
  <c r="D55"/>
  <c r="E55"/>
  <c r="F55"/>
  <c r="G55"/>
  <c r="H55"/>
  <c r="I55"/>
  <c r="J55"/>
  <c r="K55"/>
  <c r="L55"/>
  <c r="B55"/>
  <c r="N55"/>
  <c r="O55"/>
  <c r="C56"/>
  <c r="D56"/>
  <c r="E56"/>
  <c r="F56"/>
  <c r="G56"/>
  <c r="H56"/>
  <c r="I56"/>
  <c r="J56"/>
  <c r="K56"/>
  <c r="L56"/>
  <c r="B56"/>
  <c r="N56"/>
  <c r="O56"/>
  <c r="C57"/>
  <c r="D57"/>
  <c r="E57"/>
  <c r="F57"/>
  <c r="G57"/>
  <c r="H57"/>
  <c r="I57"/>
  <c r="J57"/>
  <c r="K57"/>
  <c r="L57"/>
  <c r="B57"/>
  <c r="N57"/>
  <c r="O57"/>
  <c r="O40"/>
  <c r="N40"/>
  <c r="T5"/>
  <c r="B69"/>
  <c r="T3"/>
  <c r="W5"/>
  <c r="B70"/>
  <c r="B73"/>
  <c r="C69"/>
  <c r="C70"/>
  <c r="C73"/>
  <c r="D69"/>
  <c r="D70"/>
  <c r="D73"/>
  <c r="E69"/>
  <c r="E70"/>
  <c r="E73"/>
  <c r="F69"/>
  <c r="F70"/>
  <c r="F73"/>
  <c r="G69"/>
  <c r="G70"/>
  <c r="G73"/>
  <c r="H69"/>
  <c r="H70"/>
  <c r="H73"/>
  <c r="I69"/>
  <c r="I70"/>
  <c r="I73"/>
  <c r="J69"/>
  <c r="J70"/>
  <c r="J73"/>
  <c r="K69"/>
  <c r="K70"/>
  <c r="K73"/>
  <c r="L69"/>
  <c r="L70"/>
  <c r="L73"/>
  <c r="O73"/>
  <c r="N73"/>
  <c r="B68"/>
  <c r="B72"/>
  <c r="C68"/>
  <c r="C72"/>
  <c r="D68"/>
  <c r="D72"/>
  <c r="E68"/>
  <c r="E72"/>
  <c r="F68"/>
  <c r="F72"/>
  <c r="G68"/>
  <c r="G72"/>
  <c r="H68"/>
  <c r="H72"/>
  <c r="I68"/>
  <c r="I72"/>
  <c r="J68"/>
  <c r="J72"/>
  <c r="K68"/>
  <c r="K72"/>
  <c r="L68"/>
  <c r="L72"/>
  <c r="O72"/>
  <c r="N72"/>
  <c r="T6"/>
  <c r="B71"/>
  <c r="C71"/>
  <c r="D71"/>
  <c r="E71"/>
  <c r="F71"/>
  <c r="G71"/>
  <c r="H71"/>
  <c r="I71"/>
  <c r="J71"/>
  <c r="K71"/>
  <c r="L71"/>
  <c r="O71"/>
  <c r="N71"/>
  <c r="O70"/>
  <c r="N70"/>
  <c r="O69"/>
  <c r="N69"/>
  <c r="O68"/>
  <c r="N68"/>
  <c r="B67"/>
  <c r="C67"/>
  <c r="D67"/>
  <c r="E67"/>
  <c r="F67"/>
  <c r="G67"/>
  <c r="H67"/>
  <c r="I67"/>
  <c r="J67"/>
  <c r="K67"/>
  <c r="L67"/>
  <c r="O67"/>
  <c r="N67"/>
  <c r="T7"/>
  <c r="B61"/>
  <c r="B62"/>
  <c r="B65"/>
  <c r="C61"/>
  <c r="C62"/>
  <c r="C65"/>
  <c r="D61"/>
  <c r="D62"/>
  <c r="D65"/>
  <c r="E61"/>
  <c r="E62"/>
  <c r="E65"/>
  <c r="F61"/>
  <c r="F62"/>
  <c r="F65"/>
  <c r="G61"/>
  <c r="G62"/>
  <c r="G65"/>
  <c r="H61"/>
  <c r="H62"/>
  <c r="H65"/>
  <c r="I61"/>
  <c r="I62"/>
  <c r="I65"/>
  <c r="J61"/>
  <c r="J62"/>
  <c r="J65"/>
  <c r="K61"/>
  <c r="K62"/>
  <c r="K65"/>
  <c r="L61"/>
  <c r="L62"/>
  <c r="L65"/>
  <c r="O65"/>
  <c r="N65"/>
  <c r="B60"/>
  <c r="B64"/>
  <c r="C60"/>
  <c r="C64"/>
  <c r="D60"/>
  <c r="D64"/>
  <c r="E60"/>
  <c r="E64"/>
  <c r="F60"/>
  <c r="F64"/>
  <c r="G60"/>
  <c r="G64"/>
  <c r="H60"/>
  <c r="H64"/>
  <c r="I60"/>
  <c r="I64"/>
  <c r="J60"/>
  <c r="J64"/>
  <c r="K60"/>
  <c r="K64"/>
  <c r="L60"/>
  <c r="L64"/>
  <c r="O64"/>
  <c r="N64"/>
  <c r="B63"/>
  <c r="C63"/>
  <c r="D63"/>
  <c r="E63"/>
  <c r="F63"/>
  <c r="G63"/>
  <c r="H63"/>
  <c r="I63"/>
  <c r="J63"/>
  <c r="K63"/>
  <c r="L63"/>
  <c r="O63"/>
  <c r="N63"/>
  <c r="O62"/>
  <c r="N62"/>
  <c r="O61"/>
  <c r="N61"/>
  <c r="O60"/>
  <c r="N60"/>
  <c r="B59"/>
  <c r="C59"/>
  <c r="D59"/>
  <c r="E59"/>
  <c r="F59"/>
  <c r="G59"/>
  <c r="H59"/>
  <c r="I59"/>
  <c r="J59"/>
  <c r="K59"/>
  <c r="L59"/>
  <c r="O59"/>
  <c r="N59"/>
  <c r="B31"/>
  <c r="B32"/>
  <c r="B35"/>
  <c r="C31"/>
  <c r="C32"/>
  <c r="C35"/>
  <c r="D31"/>
  <c r="D32"/>
  <c r="D35"/>
  <c r="E31"/>
  <c r="E32"/>
  <c r="E35"/>
  <c r="F31"/>
  <c r="F32"/>
  <c r="F35"/>
  <c r="G31"/>
  <c r="G32"/>
  <c r="G35"/>
  <c r="H31"/>
  <c r="H32"/>
  <c r="H35"/>
  <c r="I31"/>
  <c r="I32"/>
  <c r="I35"/>
  <c r="J31"/>
  <c r="J32"/>
  <c r="J35"/>
  <c r="K31"/>
  <c r="K32"/>
  <c r="K35"/>
  <c r="L31"/>
  <c r="L32"/>
  <c r="L35"/>
  <c r="O35"/>
  <c r="N35"/>
  <c r="B30"/>
  <c r="B34"/>
  <c r="C30"/>
  <c r="C34"/>
  <c r="D30"/>
  <c r="D34"/>
  <c r="E30"/>
  <c r="E34"/>
  <c r="F30"/>
  <c r="F34"/>
  <c r="G30"/>
  <c r="G34"/>
  <c r="H30"/>
  <c r="H34"/>
  <c r="I30"/>
  <c r="I34"/>
  <c r="J30"/>
  <c r="J34"/>
  <c r="K30"/>
  <c r="K34"/>
  <c r="L30"/>
  <c r="L34"/>
  <c r="O34"/>
  <c r="N34"/>
  <c r="B33"/>
  <c r="C33"/>
  <c r="D33"/>
  <c r="E33"/>
  <c r="F33"/>
  <c r="G33"/>
  <c r="H33"/>
  <c r="I33"/>
  <c r="J33"/>
  <c r="K33"/>
  <c r="L33"/>
  <c r="O33"/>
  <c r="N33"/>
  <c r="O32"/>
  <c r="N32"/>
  <c r="O31"/>
  <c r="N31"/>
  <c r="O30"/>
  <c r="N30"/>
  <c r="B29"/>
  <c r="C29"/>
  <c r="D29"/>
  <c r="E29"/>
  <c r="F29"/>
  <c r="G29"/>
  <c r="H29"/>
  <c r="I29"/>
  <c r="J29"/>
  <c r="K29"/>
  <c r="L29"/>
  <c r="O29"/>
  <c r="N29"/>
  <c r="B24"/>
  <c r="C24"/>
  <c r="D24"/>
  <c r="E24"/>
  <c r="F24"/>
  <c r="G24"/>
  <c r="H24"/>
  <c r="I24"/>
  <c r="J24"/>
  <c r="K24"/>
  <c r="L24"/>
  <c r="O24"/>
  <c r="B23"/>
  <c r="C23"/>
  <c r="D23"/>
  <c r="E23"/>
  <c r="F23"/>
  <c r="G23"/>
  <c r="H23"/>
  <c r="I23"/>
  <c r="J23"/>
  <c r="K23"/>
  <c r="L23"/>
  <c r="O23"/>
  <c r="N24"/>
  <c r="N23"/>
  <c r="B27"/>
  <c r="C27"/>
  <c r="D27"/>
  <c r="E27"/>
  <c r="F27"/>
  <c r="G27"/>
  <c r="H27"/>
  <c r="I27"/>
  <c r="J27"/>
  <c r="K27"/>
  <c r="L27"/>
  <c r="O27"/>
  <c r="N27"/>
  <c r="B22"/>
  <c r="B26"/>
  <c r="C22"/>
  <c r="C26"/>
  <c r="D22"/>
  <c r="D26"/>
  <c r="E22"/>
  <c r="E26"/>
  <c r="F22"/>
  <c r="F26"/>
  <c r="G22"/>
  <c r="G26"/>
  <c r="H22"/>
  <c r="H26"/>
  <c r="I22"/>
  <c r="I26"/>
  <c r="J22"/>
  <c r="J26"/>
  <c r="K22"/>
  <c r="K26"/>
  <c r="L22"/>
  <c r="L26"/>
  <c r="O26"/>
  <c r="N26"/>
  <c r="B25"/>
  <c r="C25"/>
  <c r="D25"/>
  <c r="E25"/>
  <c r="F25"/>
  <c r="G25"/>
  <c r="H25"/>
  <c r="I25"/>
  <c r="J25"/>
  <c r="K25"/>
  <c r="L25"/>
  <c r="O25"/>
  <c r="N25"/>
  <c r="O22"/>
  <c r="N22"/>
  <c r="B21"/>
  <c r="C21"/>
  <c r="D21"/>
  <c r="E21"/>
  <c r="F21"/>
  <c r="G21"/>
  <c r="H21"/>
  <c r="I21"/>
  <c r="J21"/>
  <c r="K21"/>
  <c r="L21"/>
  <c r="O21"/>
  <c r="N21"/>
  <c r="N3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B16"/>
  <c r="C16"/>
  <c r="D16"/>
  <c r="E16"/>
  <c r="F16"/>
  <c r="G16"/>
  <c r="H16"/>
  <c r="I16"/>
  <c r="J16"/>
  <c r="K16"/>
  <c r="L16"/>
  <c r="N16"/>
  <c r="O16"/>
  <c r="B17"/>
  <c r="C17"/>
  <c r="D17"/>
  <c r="E17"/>
  <c r="F17"/>
  <c r="G17"/>
  <c r="H17"/>
  <c r="I17"/>
  <c r="J17"/>
  <c r="K17"/>
  <c r="L17"/>
  <c r="N17"/>
  <c r="O17"/>
  <c r="B18"/>
  <c r="C18"/>
  <c r="D18"/>
  <c r="E18"/>
  <c r="F18"/>
  <c r="G18"/>
  <c r="H18"/>
  <c r="I18"/>
  <c r="J18"/>
  <c r="K18"/>
  <c r="L18"/>
  <c r="N18"/>
  <c r="O18"/>
  <c r="B19"/>
  <c r="C19"/>
  <c r="D19"/>
  <c r="E19"/>
  <c r="F19"/>
  <c r="G19"/>
  <c r="H19"/>
  <c r="I19"/>
  <c r="J19"/>
  <c r="K19"/>
  <c r="L19"/>
  <c r="N19"/>
  <c r="O19"/>
  <c r="O2"/>
  <c r="N2"/>
  <c r="P73"/>
  <c r="Q73"/>
  <c r="M73"/>
  <c r="P72"/>
  <c r="Q72"/>
  <c r="M72"/>
  <c r="P71"/>
  <c r="Q71"/>
  <c r="M71"/>
  <c r="P70"/>
  <c r="Q70"/>
  <c r="M70"/>
  <c r="P69"/>
  <c r="Q69"/>
  <c r="M69"/>
  <c r="P68"/>
  <c r="Q68"/>
  <c r="M68"/>
  <c r="P67"/>
  <c r="Q67"/>
  <c r="M67"/>
  <c r="P65"/>
  <c r="Q65"/>
  <c r="M65"/>
  <c r="P64"/>
  <c r="Q64"/>
  <c r="M64"/>
  <c r="P63"/>
  <c r="Q63"/>
  <c r="M63"/>
  <c r="P62"/>
  <c r="Q62"/>
  <c r="M62"/>
  <c r="P61"/>
  <c r="Q61"/>
  <c r="M61"/>
  <c r="P60"/>
  <c r="Q60"/>
  <c r="M60"/>
  <c r="P59"/>
  <c r="Q59"/>
  <c r="M59"/>
  <c r="M41"/>
  <c r="P41"/>
  <c r="Q41"/>
  <c r="M42"/>
  <c r="P42"/>
  <c r="Q42"/>
  <c r="M43"/>
  <c r="P43"/>
  <c r="Q43"/>
  <c r="M44"/>
  <c r="P44"/>
  <c r="Q44"/>
  <c r="M45"/>
  <c r="P45"/>
  <c r="Q45"/>
  <c r="M46"/>
  <c r="P46"/>
  <c r="Q46"/>
  <c r="M47"/>
  <c r="P47"/>
  <c r="Q47"/>
  <c r="M48"/>
  <c r="P48"/>
  <c r="Q48"/>
  <c r="M49"/>
  <c r="P49"/>
  <c r="Q49"/>
  <c r="M50"/>
  <c r="P50"/>
  <c r="Q50"/>
  <c r="M51"/>
  <c r="P51"/>
  <c r="Q51"/>
  <c r="M52"/>
  <c r="P52"/>
  <c r="Q52"/>
  <c r="M53"/>
  <c r="P53"/>
  <c r="Q53"/>
  <c r="M54"/>
  <c r="P54"/>
  <c r="Q54"/>
  <c r="M55"/>
  <c r="P55"/>
  <c r="Q55"/>
  <c r="M56"/>
  <c r="P56"/>
  <c r="Q56"/>
  <c r="M57"/>
  <c r="P57"/>
  <c r="Q57"/>
  <c r="P40"/>
  <c r="Q40"/>
  <c r="M40"/>
  <c r="P35"/>
  <c r="Q35"/>
  <c r="M35"/>
  <c r="P34"/>
  <c r="Q34"/>
  <c r="M34"/>
  <c r="P33"/>
  <c r="Q33"/>
  <c r="M33"/>
  <c r="P32"/>
  <c r="Q32"/>
  <c r="M32"/>
  <c r="P31"/>
  <c r="Q31"/>
  <c r="M31"/>
  <c r="P30"/>
  <c r="Q30"/>
  <c r="M30"/>
  <c r="P29"/>
  <c r="Q29"/>
  <c r="M29"/>
  <c r="M22"/>
  <c r="P22"/>
  <c r="Q22"/>
  <c r="M23"/>
  <c r="P23"/>
  <c r="Q23"/>
  <c r="M24"/>
  <c r="P24"/>
  <c r="Q24"/>
  <c r="M25"/>
  <c r="P25"/>
  <c r="Q25"/>
  <c r="M26"/>
  <c r="P26"/>
  <c r="Q26"/>
  <c r="M27"/>
  <c r="P27"/>
  <c r="Q27"/>
  <c r="P21"/>
  <c r="Q21"/>
  <c r="M21"/>
  <c r="M3"/>
  <c r="P3"/>
  <c r="Q3"/>
  <c r="M4"/>
  <c r="P4"/>
  <c r="Q4"/>
  <c r="M5"/>
  <c r="P5"/>
  <c r="Q5"/>
  <c r="M6"/>
  <c r="P6"/>
  <c r="Q6"/>
  <c r="M7"/>
  <c r="P7"/>
  <c r="Q7"/>
  <c r="M8"/>
  <c r="P8"/>
  <c r="Q8"/>
  <c r="M9"/>
  <c r="P9"/>
  <c r="Q9"/>
  <c r="M10"/>
  <c r="P10"/>
  <c r="Q10"/>
  <c r="M11"/>
  <c r="P11"/>
  <c r="Q11"/>
  <c r="M12"/>
  <c r="P12"/>
  <c r="Q12"/>
  <c r="M13"/>
  <c r="P13"/>
  <c r="Q13"/>
  <c r="M14"/>
  <c r="P14"/>
  <c r="Q14"/>
  <c r="M15"/>
  <c r="P15"/>
  <c r="Q15"/>
  <c r="M16"/>
  <c r="P16"/>
  <c r="Q16"/>
  <c r="M17"/>
  <c r="P17"/>
  <c r="Q17"/>
  <c r="M18"/>
  <c r="P18"/>
  <c r="Q18"/>
  <c r="M19"/>
  <c r="P19"/>
  <c r="Q19"/>
  <c r="P2"/>
  <c r="Q2"/>
  <c r="M2"/>
  <c r="Z14"/>
  <c r="AA14"/>
  <c r="Z15"/>
  <c r="AA15"/>
  <c r="Z6"/>
  <c r="Z7"/>
  <c r="AA6"/>
  <c r="AA7"/>
  <c r="Z13"/>
  <c r="AA13"/>
  <c r="Z11"/>
  <c r="AA11"/>
  <c r="Z10"/>
  <c r="Z12"/>
  <c r="AA10"/>
  <c r="AA12"/>
  <c r="AD17"/>
  <c r="AA17"/>
  <c r="AB17"/>
  <c r="AC17"/>
  <c r="Z17"/>
  <c r="Z8"/>
  <c r="W6"/>
  <c r="W8"/>
  <c r="T9"/>
  <c r="W9"/>
  <c r="T10"/>
  <c r="W10"/>
  <c r="W7"/>
  <c r="W4"/>
</calcChain>
</file>

<file path=xl/sharedStrings.xml><?xml version="1.0" encoding="utf-8"?>
<sst xmlns="http://schemas.openxmlformats.org/spreadsheetml/2006/main" count="222" uniqueCount="103">
  <si>
    <r>
      <t>d</t>
    </r>
    <r>
      <rPr>
        <sz val="18"/>
        <rFont val="Myriad Pro"/>
      </rPr>
      <t>E</t>
    </r>
    <r>
      <rPr>
        <vertAlign val="subscript"/>
        <sz val="18"/>
        <rFont val="Myriad Pro"/>
      </rPr>
      <t>ESW</t>
    </r>
    <r>
      <rPr>
        <sz val="18"/>
        <rFont val="Myriad Pro"/>
      </rPr>
      <t xml:space="preserve"> </t>
    </r>
    <r>
      <rPr>
        <sz val="18"/>
        <rFont val="Symbol"/>
      </rPr>
      <t>D</t>
    </r>
    <r>
      <rPr>
        <sz val="18"/>
        <rFont val="Myriad Pro"/>
      </rPr>
      <t>x</t>
    </r>
    <r>
      <rPr>
        <vertAlign val="subscript"/>
        <sz val="18"/>
        <rFont val="Myriad Pro"/>
      </rPr>
      <t>ESW</t>
    </r>
    <r>
      <rPr>
        <sz val="18"/>
        <rFont val="Myriad Pro"/>
      </rPr>
      <t xml:space="preserve"> [V] = </t>
    </r>
    <phoneticPr fontId="1" type="noConversion"/>
  </si>
  <si>
    <r>
      <t>V</t>
    </r>
    <r>
      <rPr>
        <vertAlign val="subscript"/>
        <sz val="18"/>
        <rFont val="Myriad Pro"/>
      </rPr>
      <t>Te</t>
    </r>
    <r>
      <rPr>
        <sz val="18"/>
        <rFont val="Myriad Pro"/>
      </rPr>
      <t xml:space="preserve"> [m/s] =</t>
    </r>
    <phoneticPr fontId="1" type="noConversion"/>
  </si>
  <si>
    <t>Uncertainties</t>
    <phoneticPr fontId="1" type="noConversion"/>
  </si>
  <si>
    <t>Ergun et al., [1998]</t>
    <phoneticPr fontId="1" type="noConversion"/>
  </si>
  <si>
    <r>
      <t>&lt;V</t>
    </r>
    <r>
      <rPr>
        <vertAlign val="subscript"/>
        <sz val="18"/>
        <rFont val="Myriad Pro"/>
      </rPr>
      <t>ESW</t>
    </r>
    <r>
      <rPr>
        <sz val="18"/>
        <rFont val="Myriad Pro"/>
      </rPr>
      <t>/V</t>
    </r>
    <r>
      <rPr>
        <vertAlign val="subscript"/>
        <sz val="18"/>
        <rFont val="Myriad Pro"/>
      </rPr>
      <t>Te</t>
    </r>
    <r>
      <rPr>
        <sz val="18"/>
        <rFont val="Myriad Pro"/>
      </rPr>
      <t>&gt; =</t>
    </r>
    <phoneticPr fontId="1" type="noConversion"/>
  </si>
  <si>
    <r>
      <t>&lt;V</t>
    </r>
    <r>
      <rPr>
        <vertAlign val="subscript"/>
        <sz val="18"/>
        <rFont val="Myriad Pro"/>
      </rPr>
      <t>ESW</t>
    </r>
    <r>
      <rPr>
        <sz val="18"/>
        <rFont val="Myriad Pro"/>
      </rPr>
      <t>&gt; [km/s] =</t>
    </r>
    <phoneticPr fontId="1" type="noConversion"/>
  </si>
  <si>
    <r>
      <t>V</t>
    </r>
    <r>
      <rPr>
        <vertAlign val="subscript"/>
        <sz val="18"/>
        <rFont val="Myriad Pro"/>
      </rPr>
      <t>Tp</t>
    </r>
    <r>
      <rPr>
        <sz val="18"/>
        <rFont val="Myriad Pro"/>
      </rPr>
      <t xml:space="preserve"> [m/s]</t>
    </r>
    <phoneticPr fontId="1" type="noConversion"/>
  </si>
  <si>
    <r>
      <t>c/</t>
    </r>
    <r>
      <rPr>
        <sz val="18"/>
        <rFont val="Symbol"/>
      </rPr>
      <t>w</t>
    </r>
    <r>
      <rPr>
        <vertAlign val="subscript"/>
        <sz val="18"/>
        <rFont val="Myriad Pro"/>
      </rPr>
      <t>pe</t>
    </r>
    <r>
      <rPr>
        <sz val="18"/>
        <rFont val="Myriad Pro"/>
      </rPr>
      <t xml:space="preserve"> [m]</t>
    </r>
    <phoneticPr fontId="1" type="noConversion"/>
  </si>
  <si>
    <r>
      <t>c/</t>
    </r>
    <r>
      <rPr>
        <sz val="18"/>
        <rFont val="Symbol"/>
      </rPr>
      <t>w</t>
    </r>
    <r>
      <rPr>
        <vertAlign val="subscript"/>
        <sz val="18"/>
        <rFont val="Myriad Pro"/>
      </rPr>
      <t>pp</t>
    </r>
    <r>
      <rPr>
        <sz val="18"/>
        <rFont val="Myriad Pro"/>
      </rPr>
      <t xml:space="preserve"> [m]</t>
    </r>
    <phoneticPr fontId="1" type="noConversion"/>
  </si>
  <si>
    <r>
      <t>r</t>
    </r>
    <r>
      <rPr>
        <vertAlign val="subscript"/>
        <sz val="18"/>
        <rFont val="Myriad Pro"/>
      </rPr>
      <t>ce</t>
    </r>
    <r>
      <rPr>
        <sz val="18"/>
        <rFont val="Myriad Pro"/>
      </rPr>
      <t xml:space="preserve"> [m]</t>
    </r>
    <phoneticPr fontId="1" type="noConversion"/>
  </si>
  <si>
    <r>
      <t>l</t>
    </r>
    <r>
      <rPr>
        <vertAlign val="subscript"/>
        <sz val="18"/>
        <rFont val="Myriad Pro"/>
      </rPr>
      <t>De</t>
    </r>
    <r>
      <rPr>
        <sz val="18"/>
        <rFont val="Myriad Pro"/>
      </rPr>
      <t xml:space="preserve"> [m]</t>
    </r>
    <phoneticPr fontId="1" type="noConversion"/>
  </si>
  <si>
    <r>
      <t>l</t>
    </r>
    <r>
      <rPr>
        <vertAlign val="subscript"/>
        <sz val="18"/>
        <rFont val="Myriad Pro"/>
      </rPr>
      <t>Dp</t>
    </r>
    <r>
      <rPr>
        <sz val="18"/>
        <rFont val="Myriad Pro"/>
      </rPr>
      <t xml:space="preserve"> [m]</t>
    </r>
    <phoneticPr fontId="1" type="noConversion"/>
  </si>
  <si>
    <r>
      <t>r</t>
    </r>
    <r>
      <rPr>
        <vertAlign val="subscript"/>
        <sz val="18"/>
        <rFont val="Myriad Pro"/>
      </rPr>
      <t>cp</t>
    </r>
    <r>
      <rPr>
        <sz val="18"/>
        <rFont val="Myriad Pro"/>
      </rPr>
      <t xml:space="preserve"> [m]</t>
    </r>
    <phoneticPr fontId="1" type="noConversion"/>
  </si>
  <si>
    <r>
      <t>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k</t>
    </r>
    <r>
      <rPr>
        <vertAlign val="subscript"/>
        <sz val="18"/>
        <rFont val="Myriad Pro"/>
      </rPr>
      <t>B</t>
    </r>
    <r>
      <rPr>
        <sz val="18"/>
        <rFont val="Myriad Pro"/>
      </rPr>
      <t xml:space="preserve"> T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[J]</t>
    </r>
    <phoneticPr fontId="1" type="noConversion"/>
  </si>
  <si>
    <r>
      <t>E</t>
    </r>
    <r>
      <rPr>
        <vertAlign val="subscript"/>
        <sz val="18"/>
        <rFont val="Myriad Pro"/>
      </rPr>
      <t>sw,x</t>
    </r>
    <r>
      <rPr>
        <sz val="18"/>
        <rFont val="Myriad Pro"/>
      </rPr>
      <t xml:space="preserve"> [mV/m]</t>
    </r>
    <phoneticPr fontId="1" type="noConversion"/>
  </si>
  <si>
    <r>
      <t>E</t>
    </r>
    <r>
      <rPr>
        <vertAlign val="subscript"/>
        <sz val="18"/>
        <rFont val="Myriad Pro"/>
      </rPr>
      <t>sw,z</t>
    </r>
    <r>
      <rPr>
        <sz val="18"/>
        <rFont val="Myriad Pro"/>
      </rPr>
      <t xml:space="preserve"> [mV/m]</t>
    </r>
    <phoneticPr fontId="1" type="noConversion"/>
  </si>
  <si>
    <r>
      <t>E</t>
    </r>
    <r>
      <rPr>
        <vertAlign val="subscript"/>
        <sz val="18"/>
        <rFont val="Myriad Pro"/>
      </rPr>
      <t>sw,y</t>
    </r>
    <r>
      <rPr>
        <sz val="18"/>
        <rFont val="Myriad Pro"/>
      </rPr>
      <t xml:space="preserve"> [mV/m]</t>
    </r>
    <phoneticPr fontId="1" type="noConversion"/>
  </si>
  <si>
    <r>
      <t>E</t>
    </r>
    <r>
      <rPr>
        <vertAlign val="subscript"/>
        <sz val="18"/>
        <rFont val="Myriad Pro"/>
      </rPr>
      <t>sw</t>
    </r>
    <r>
      <rPr>
        <sz val="18"/>
        <rFont val="Myriad Pro"/>
      </rPr>
      <t xml:space="preserve"> [mV/m]</t>
    </r>
    <phoneticPr fontId="1" type="noConversion"/>
  </si>
  <si>
    <t>Electrons</t>
    <phoneticPr fontId="1" type="noConversion"/>
  </si>
  <si>
    <t>Protons</t>
    <phoneticPr fontId="1" type="noConversion"/>
  </si>
  <si>
    <r>
      <t>e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</t>
    </r>
    <r>
      <rPr>
        <sz val="18"/>
        <rFont val="Symbol"/>
      </rPr>
      <t>d</t>
    </r>
    <r>
      <rPr>
        <sz val="18"/>
        <rFont val="Myriad Pro"/>
      </rPr>
      <t>E</t>
    </r>
    <r>
      <rPr>
        <vertAlign val="superscript"/>
        <sz val="18"/>
        <rFont val="Myriad Pro"/>
      </rPr>
      <t>2</t>
    </r>
    <r>
      <rPr>
        <sz val="18"/>
        <rFont val="Myriad Pro"/>
      </rPr>
      <t>/2 [J] =</t>
    </r>
    <phoneticPr fontId="1" type="noConversion"/>
  </si>
  <si>
    <r>
      <t>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k</t>
    </r>
    <r>
      <rPr>
        <vertAlign val="subscript"/>
        <sz val="18"/>
        <rFont val="Myriad Pro"/>
      </rPr>
      <t>B</t>
    </r>
    <r>
      <rPr>
        <sz val="18"/>
        <rFont val="Myriad Pro"/>
      </rPr>
      <t xml:space="preserve"> T</t>
    </r>
    <r>
      <rPr>
        <vertAlign val="subscript"/>
        <sz val="18"/>
        <rFont val="Myriad Pro"/>
      </rPr>
      <t>e</t>
    </r>
    <r>
      <rPr>
        <sz val="18"/>
        <rFont val="Myriad Pro"/>
      </rPr>
      <t xml:space="preserve"> [J]</t>
    </r>
    <phoneticPr fontId="1" type="noConversion"/>
  </si>
  <si>
    <r>
      <t>e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</t>
    </r>
    <r>
      <rPr>
        <sz val="18"/>
        <rFont val="Symbol"/>
      </rPr>
      <t>d</t>
    </r>
    <r>
      <rPr>
        <sz val="18"/>
        <rFont val="Myriad Pro"/>
      </rPr>
      <t>E</t>
    </r>
    <r>
      <rPr>
        <vertAlign val="superscript"/>
        <sz val="18"/>
        <rFont val="Myriad Pro"/>
      </rPr>
      <t>2</t>
    </r>
    <r>
      <rPr>
        <sz val="18"/>
        <rFont val="Myriad Pro"/>
      </rPr>
      <t>/(N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k</t>
    </r>
    <r>
      <rPr>
        <vertAlign val="subscript"/>
        <sz val="18"/>
        <rFont val="Myriad Pro"/>
      </rPr>
      <t>B</t>
    </r>
    <r>
      <rPr>
        <sz val="18"/>
        <rFont val="Myriad Pro"/>
      </rPr>
      <t xml:space="preserve"> T</t>
    </r>
    <r>
      <rPr>
        <vertAlign val="subscript"/>
        <sz val="18"/>
        <rFont val="Myriad Pro"/>
      </rPr>
      <t>e</t>
    </r>
    <r>
      <rPr>
        <sz val="18"/>
        <rFont val="Myriad Pro"/>
      </rPr>
      <t>)</t>
    </r>
    <r>
      <rPr>
        <vertAlign val="subscript"/>
        <sz val="18"/>
        <rFont val="Myriad Pro"/>
      </rPr>
      <t>up</t>
    </r>
    <r>
      <rPr>
        <sz val="18"/>
        <rFont val="Myriad Pro"/>
      </rPr>
      <t xml:space="preserve"> =</t>
    </r>
    <phoneticPr fontId="1" type="noConversion"/>
  </si>
  <si>
    <t>ESW Example</t>
    <phoneticPr fontId="1" type="noConversion"/>
  </si>
  <si>
    <r>
      <t>d</t>
    </r>
    <r>
      <rPr>
        <sz val="14"/>
        <rFont val="Myriad Pro"/>
      </rPr>
      <t>E</t>
    </r>
    <r>
      <rPr>
        <vertAlign val="subscript"/>
        <sz val="14"/>
        <rFont val="Myriad Pro"/>
      </rPr>
      <t>ESW</t>
    </r>
    <r>
      <rPr>
        <sz val="14"/>
        <rFont val="Myriad Pro"/>
      </rPr>
      <t xml:space="preserve"> n</t>
    </r>
    <r>
      <rPr>
        <sz val="14"/>
        <rFont val="Symbol"/>
      </rPr>
      <t>l</t>
    </r>
    <r>
      <rPr>
        <vertAlign val="subscript"/>
        <sz val="14"/>
        <rFont val="Myriad Pro"/>
      </rPr>
      <t>De</t>
    </r>
    <r>
      <rPr>
        <sz val="14"/>
        <rFont val="Myriad Pro"/>
      </rPr>
      <t xml:space="preserve"> [V] = </t>
    </r>
    <phoneticPr fontId="1" type="noConversion"/>
  </si>
  <si>
    <t>n =</t>
    <phoneticPr fontId="1" type="noConversion"/>
  </si>
  <si>
    <t>Uncertainties</t>
    <phoneticPr fontId="1" type="noConversion"/>
  </si>
  <si>
    <t xml:space="preserve">e [C] = </t>
    <phoneticPr fontId="1" type="noConversion"/>
  </si>
  <si>
    <r>
      <t>m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[H m</t>
    </r>
    <r>
      <rPr>
        <vertAlign val="superscript"/>
        <sz val="18"/>
        <rFont val="Myriad Pro"/>
      </rPr>
      <t>-1</t>
    </r>
    <r>
      <rPr>
        <sz val="18"/>
        <rFont val="Myriad Pro"/>
      </rPr>
      <t>] =</t>
    </r>
    <phoneticPr fontId="1" type="noConversion"/>
  </si>
  <si>
    <r>
      <t>e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[F m</t>
    </r>
    <r>
      <rPr>
        <vertAlign val="superscript"/>
        <sz val="18"/>
        <rFont val="Myriad Pro"/>
      </rPr>
      <t>-1</t>
    </r>
    <r>
      <rPr>
        <sz val="18"/>
        <rFont val="Myriad Pro"/>
      </rPr>
      <t>] =</t>
    </r>
    <phoneticPr fontId="1" type="noConversion"/>
  </si>
  <si>
    <r>
      <t>m</t>
    </r>
    <r>
      <rPr>
        <vertAlign val="subscript"/>
        <sz val="18"/>
        <rFont val="Myriad Pro"/>
      </rPr>
      <t>e</t>
    </r>
    <r>
      <rPr>
        <sz val="18"/>
        <rFont val="Myriad Pro"/>
      </rPr>
      <t xml:space="preserve"> [kg] =</t>
    </r>
    <phoneticPr fontId="1" type="noConversion"/>
  </si>
  <si>
    <r>
      <t>M</t>
    </r>
    <r>
      <rPr>
        <vertAlign val="subscript"/>
        <sz val="18"/>
        <rFont val="Myriad Pro"/>
      </rPr>
      <t>p</t>
    </r>
    <r>
      <rPr>
        <sz val="18"/>
        <rFont val="Myriad Pro"/>
      </rPr>
      <t xml:space="preserve"> [kg] =</t>
    </r>
    <phoneticPr fontId="1" type="noConversion"/>
  </si>
  <si>
    <r>
      <t>M</t>
    </r>
    <r>
      <rPr>
        <vertAlign val="subscript"/>
        <sz val="18"/>
        <rFont val="Symbol"/>
      </rPr>
      <t>a</t>
    </r>
    <r>
      <rPr>
        <sz val="18"/>
        <rFont val="Myriad Pro"/>
      </rPr>
      <t xml:space="preserve"> [kg] =</t>
    </r>
    <phoneticPr fontId="1" type="noConversion"/>
  </si>
  <si>
    <r>
      <t>M</t>
    </r>
    <r>
      <rPr>
        <vertAlign val="subscript"/>
        <sz val="18"/>
        <rFont val="Myriad Pro"/>
      </rPr>
      <t>n</t>
    </r>
    <r>
      <rPr>
        <sz val="18"/>
        <rFont val="Myriad Pro"/>
      </rPr>
      <t xml:space="preserve"> [kg] =</t>
    </r>
    <phoneticPr fontId="1" type="noConversion"/>
  </si>
  <si>
    <r>
      <t>k</t>
    </r>
    <r>
      <rPr>
        <vertAlign val="subscript"/>
        <sz val="18"/>
        <rFont val="Myriad Pro"/>
      </rPr>
      <t>B</t>
    </r>
    <r>
      <rPr>
        <sz val="18"/>
        <rFont val="Myriad Pro"/>
      </rPr>
      <t xml:space="preserve"> [J </t>
    </r>
    <r>
      <rPr>
        <vertAlign val="superscript"/>
        <sz val="18"/>
        <rFont val="Myriad Pro"/>
      </rPr>
      <t>o</t>
    </r>
    <r>
      <rPr>
        <sz val="18"/>
        <rFont val="Myriad Pro"/>
      </rPr>
      <t>K</t>
    </r>
    <r>
      <rPr>
        <vertAlign val="superscript"/>
        <sz val="18"/>
        <rFont val="Myriad Pro"/>
      </rPr>
      <t>-1</t>
    </r>
    <r>
      <rPr>
        <sz val="18"/>
        <rFont val="Myriad Pro"/>
      </rPr>
      <t>] =</t>
    </r>
    <phoneticPr fontId="1" type="noConversion"/>
  </si>
  <si>
    <t>1 eV [J] =</t>
    <phoneticPr fontId="1" type="noConversion"/>
  </si>
  <si>
    <t>1 eV [oK] =</t>
    <phoneticPr fontId="1" type="noConversion"/>
  </si>
  <si>
    <r>
      <t>1 eV/c</t>
    </r>
    <r>
      <rPr>
        <vertAlign val="superscript"/>
        <sz val="18"/>
        <rFont val="Myriad Pro"/>
      </rPr>
      <t>2</t>
    </r>
    <r>
      <rPr>
        <sz val="18"/>
        <rFont val="Myriad Pro"/>
      </rPr>
      <t xml:space="preserve"> [kg] =</t>
    </r>
    <phoneticPr fontId="1" type="noConversion"/>
  </si>
  <si>
    <r>
      <t>m</t>
    </r>
    <r>
      <rPr>
        <vertAlign val="subscript"/>
        <sz val="18"/>
        <rFont val="Myriad Pro"/>
      </rPr>
      <t>e</t>
    </r>
    <r>
      <rPr>
        <sz val="18"/>
        <rFont val="Myriad Pro"/>
      </rPr>
      <t xml:space="preserve"> [MeV/c</t>
    </r>
    <r>
      <rPr>
        <vertAlign val="superscript"/>
        <sz val="18"/>
        <rFont val="Myriad Pro"/>
      </rPr>
      <t>2</t>
    </r>
    <r>
      <rPr>
        <sz val="18"/>
        <rFont val="Myriad Pro"/>
      </rPr>
      <t>] =</t>
    </r>
    <phoneticPr fontId="1" type="noConversion"/>
  </si>
  <si>
    <r>
      <t>M</t>
    </r>
    <r>
      <rPr>
        <vertAlign val="subscript"/>
        <sz val="18"/>
        <rFont val="Myriad Pro"/>
      </rPr>
      <t>p</t>
    </r>
    <r>
      <rPr>
        <sz val="18"/>
        <rFont val="Myriad Pro"/>
      </rPr>
      <t xml:space="preserve"> [MeV/c</t>
    </r>
    <r>
      <rPr>
        <vertAlign val="superscript"/>
        <sz val="18"/>
        <rFont val="Myriad Pro"/>
      </rPr>
      <t>2</t>
    </r>
    <r>
      <rPr>
        <sz val="18"/>
        <rFont val="Myriad Pro"/>
      </rPr>
      <t>] =</t>
    </r>
    <phoneticPr fontId="1" type="noConversion"/>
  </si>
  <si>
    <r>
      <t>M</t>
    </r>
    <r>
      <rPr>
        <vertAlign val="subscript"/>
        <sz val="18"/>
        <rFont val="Myriad Pro"/>
      </rPr>
      <t>n</t>
    </r>
    <r>
      <rPr>
        <sz val="18"/>
        <rFont val="Myriad Pro"/>
      </rPr>
      <t xml:space="preserve"> [MeV/c</t>
    </r>
    <r>
      <rPr>
        <vertAlign val="superscript"/>
        <sz val="18"/>
        <rFont val="Myriad Pro"/>
      </rPr>
      <t>2</t>
    </r>
    <r>
      <rPr>
        <sz val="18"/>
        <rFont val="Myriad Pro"/>
      </rPr>
      <t>] =</t>
    </r>
    <phoneticPr fontId="1" type="noConversion"/>
  </si>
  <si>
    <r>
      <t>D</t>
    </r>
    <r>
      <rPr>
        <sz val="18"/>
        <rFont val="Myriad Pro"/>
      </rPr>
      <t>t</t>
    </r>
    <r>
      <rPr>
        <vertAlign val="subscript"/>
        <sz val="18"/>
        <rFont val="Myriad Pro"/>
      </rPr>
      <t>sh</t>
    </r>
    <r>
      <rPr>
        <sz val="18"/>
        <rFont val="Myriad Pro"/>
      </rPr>
      <t xml:space="preserve"> [s]</t>
    </r>
    <phoneticPr fontId="1" type="noConversion"/>
  </si>
  <si>
    <r>
      <t>M</t>
    </r>
    <r>
      <rPr>
        <vertAlign val="subscript"/>
        <sz val="18"/>
        <rFont val="Myriad Pro"/>
      </rPr>
      <t>p</t>
    </r>
    <r>
      <rPr>
        <sz val="18"/>
        <rFont val="Myriad Pro"/>
      </rPr>
      <t xml:space="preserve"> </t>
    </r>
    <r>
      <rPr>
        <sz val="18"/>
        <rFont val="Symbol"/>
      </rPr>
      <t>D</t>
    </r>
    <r>
      <rPr>
        <sz val="18"/>
        <rFont val="Myriad Pro"/>
      </rPr>
      <t>(N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U</t>
    </r>
    <r>
      <rPr>
        <vertAlign val="subscript"/>
        <sz val="18"/>
        <rFont val="Myriad Pro"/>
      </rPr>
      <t>shn</t>
    </r>
    <r>
      <rPr>
        <vertAlign val="superscript"/>
        <sz val="18"/>
        <rFont val="Myriad Pro"/>
      </rPr>
      <t>2</t>
    </r>
    <r>
      <rPr>
        <sz val="18"/>
        <rFont val="Myriad Pro"/>
      </rPr>
      <t xml:space="preserve"> ) [</t>
    </r>
    <r>
      <rPr>
        <sz val="18"/>
        <rFont val="Symbol"/>
      </rPr>
      <t>m</t>
    </r>
    <r>
      <rPr>
        <sz val="18"/>
        <rFont val="Myriad Pro"/>
      </rPr>
      <t>J m</t>
    </r>
    <r>
      <rPr>
        <vertAlign val="superscript"/>
        <sz val="18"/>
        <rFont val="Myriad Pro"/>
      </rPr>
      <t>-3</t>
    </r>
    <r>
      <rPr>
        <sz val="18"/>
        <rFont val="Myriad Pro"/>
      </rPr>
      <t>]</t>
    </r>
    <phoneticPr fontId="1" type="noConversion"/>
  </si>
  <si>
    <r>
      <t>D</t>
    </r>
    <r>
      <rPr>
        <sz val="18"/>
        <rFont val="Myriad Pro"/>
      </rPr>
      <t>KE/</t>
    </r>
    <r>
      <rPr>
        <sz val="18"/>
        <rFont val="Symbol"/>
      </rPr>
      <t>D</t>
    </r>
    <r>
      <rPr>
        <sz val="18"/>
        <rFont val="Myriad Pro"/>
      </rPr>
      <t>t</t>
    </r>
    <r>
      <rPr>
        <vertAlign val="subscript"/>
        <sz val="18"/>
        <rFont val="Myriad Pro"/>
      </rPr>
      <t>sh</t>
    </r>
    <r>
      <rPr>
        <sz val="18"/>
        <rFont val="Myriad Pro"/>
      </rPr>
      <t xml:space="preserve"> [</t>
    </r>
    <r>
      <rPr>
        <sz val="18"/>
        <rFont val="Symbol"/>
      </rPr>
      <t>m</t>
    </r>
    <r>
      <rPr>
        <sz val="18"/>
        <rFont val="Myriad Pro"/>
      </rPr>
      <t>W m</t>
    </r>
    <r>
      <rPr>
        <vertAlign val="superscript"/>
        <sz val="18"/>
        <rFont val="Myriad Pro"/>
      </rPr>
      <t>-3</t>
    </r>
    <r>
      <rPr>
        <sz val="18"/>
        <rFont val="Myriad Pro"/>
      </rPr>
      <t>]</t>
    </r>
    <phoneticPr fontId="1" type="noConversion"/>
  </si>
  <si>
    <r>
      <t>J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</t>
    </r>
    <r>
      <rPr>
        <sz val="18"/>
        <rFont val="Symbol"/>
      </rPr>
      <t>m</t>
    </r>
    <r>
      <rPr>
        <sz val="18"/>
        <rFont val="Myriad Pro"/>
      </rPr>
      <t>A m</t>
    </r>
    <r>
      <rPr>
        <vertAlign val="superscript"/>
        <sz val="18"/>
        <rFont val="Myriad Pro"/>
      </rPr>
      <t>-2</t>
    </r>
    <r>
      <rPr>
        <sz val="18"/>
        <rFont val="Myriad Pro"/>
      </rPr>
      <t>, Obs. Min.]</t>
    </r>
    <phoneticPr fontId="1" type="noConversion"/>
  </si>
  <si>
    <r>
      <t>J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</t>
    </r>
    <r>
      <rPr>
        <sz val="18"/>
        <rFont val="Symbol"/>
      </rPr>
      <t>m</t>
    </r>
    <r>
      <rPr>
        <sz val="18"/>
        <rFont val="Myriad Pro"/>
      </rPr>
      <t>A m</t>
    </r>
    <r>
      <rPr>
        <vertAlign val="superscript"/>
        <sz val="18"/>
        <rFont val="Myriad Pro"/>
      </rPr>
      <t>-2</t>
    </r>
    <r>
      <rPr>
        <sz val="18"/>
        <rFont val="Myriad Pro"/>
      </rPr>
      <t>, Obs. Max.]</t>
    </r>
    <phoneticPr fontId="1" type="noConversion"/>
  </si>
  <si>
    <r>
      <t>J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</t>
    </r>
    <r>
      <rPr>
        <sz val="18"/>
        <rFont val="Symbol"/>
      </rPr>
      <t>m</t>
    </r>
    <r>
      <rPr>
        <sz val="18"/>
        <rFont val="Myriad Pro"/>
      </rPr>
      <t>A m</t>
    </r>
    <r>
      <rPr>
        <vertAlign val="superscript"/>
        <sz val="18"/>
        <rFont val="Myriad Pro"/>
      </rPr>
      <t>-2</t>
    </r>
    <r>
      <rPr>
        <sz val="18"/>
        <rFont val="Myriad Pro"/>
      </rPr>
      <t>, Obs. Avg.]</t>
    </r>
    <phoneticPr fontId="1" type="noConversion"/>
  </si>
  <si>
    <r>
      <t>h</t>
    </r>
    <r>
      <rPr>
        <sz val="18"/>
        <rFont val="Myriad Pro"/>
      </rPr>
      <t xml:space="preserve"> J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[mV/m, Min.]</t>
    </r>
    <phoneticPr fontId="1" type="noConversion"/>
  </si>
  <si>
    <r>
      <t>h</t>
    </r>
    <r>
      <rPr>
        <sz val="18"/>
        <rFont val="Myriad Pro"/>
      </rPr>
      <t xml:space="preserve"> J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[mV/m, Max.]</t>
    </r>
    <phoneticPr fontId="1" type="noConversion"/>
  </si>
  <si>
    <r>
      <t>h</t>
    </r>
    <r>
      <rPr>
        <sz val="18"/>
        <rFont val="Myriad Pro"/>
      </rPr>
      <t xml:space="preserve"> J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[mV/m, Avg.]</t>
    </r>
    <phoneticPr fontId="1" type="noConversion"/>
  </si>
  <si>
    <r>
      <t>M</t>
    </r>
    <r>
      <rPr>
        <vertAlign val="subscript"/>
        <sz val="18"/>
        <rFont val="Myriad Pro"/>
      </rPr>
      <t>p</t>
    </r>
    <r>
      <rPr>
        <sz val="18"/>
        <rFont val="Myriad Pro"/>
      </rPr>
      <t xml:space="preserve"> </t>
    </r>
    <r>
      <rPr>
        <sz val="18"/>
        <rFont val="Symbol"/>
      </rPr>
      <t>D</t>
    </r>
    <r>
      <rPr>
        <sz val="18"/>
        <rFont val="Myriad Pro"/>
      </rPr>
      <t>U</t>
    </r>
    <r>
      <rPr>
        <vertAlign val="subscript"/>
        <sz val="18"/>
        <rFont val="Myriad Pro"/>
      </rPr>
      <t>shn</t>
    </r>
    <r>
      <rPr>
        <vertAlign val="superscript"/>
        <sz val="18"/>
        <rFont val="Myriad Pro"/>
      </rPr>
      <t>2</t>
    </r>
    <r>
      <rPr>
        <sz val="18"/>
        <rFont val="Myriad Pro"/>
      </rPr>
      <t xml:space="preserve"> [eV]</t>
    </r>
    <phoneticPr fontId="1" type="noConversion"/>
  </si>
  <si>
    <r>
      <t>M</t>
    </r>
    <r>
      <rPr>
        <vertAlign val="subscript"/>
        <sz val="18"/>
        <rFont val="Symbol"/>
      </rPr>
      <t>a</t>
    </r>
    <r>
      <rPr>
        <sz val="18"/>
        <rFont val="Myriad Pro"/>
      </rPr>
      <t xml:space="preserve"> [MeV/c</t>
    </r>
    <r>
      <rPr>
        <vertAlign val="superscript"/>
        <sz val="18"/>
        <rFont val="Myriad Pro"/>
      </rPr>
      <t>2</t>
    </r>
    <r>
      <rPr>
        <sz val="18"/>
        <rFont val="Myriad Pro"/>
      </rPr>
      <t>] =</t>
    </r>
    <phoneticPr fontId="1" type="noConversion"/>
  </si>
  <si>
    <r>
      <t>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k</t>
    </r>
    <r>
      <rPr>
        <vertAlign val="subscript"/>
        <sz val="18"/>
        <rFont val="Myriad Pro"/>
      </rPr>
      <t>B</t>
    </r>
    <r>
      <rPr>
        <sz val="18"/>
        <rFont val="Myriad Pro"/>
      </rPr>
      <t xml:space="preserve"> T</t>
    </r>
    <r>
      <rPr>
        <vertAlign val="subscript"/>
        <sz val="18"/>
        <rFont val="Myriad Pro"/>
      </rPr>
      <t>e</t>
    </r>
    <r>
      <rPr>
        <sz val="18"/>
        <rFont val="Myriad Pro"/>
      </rPr>
      <t xml:space="preserve"> [J]</t>
    </r>
    <phoneticPr fontId="1" type="noConversion"/>
  </si>
  <si>
    <r>
      <t>W</t>
    </r>
    <r>
      <rPr>
        <vertAlign val="subscript"/>
        <sz val="18"/>
        <rFont val="Myriad Pro"/>
      </rPr>
      <t>ce</t>
    </r>
    <r>
      <rPr>
        <sz val="18"/>
        <rFont val="Myriad Pro"/>
      </rPr>
      <t xml:space="preserve"> [rad s</t>
    </r>
    <r>
      <rPr>
        <vertAlign val="superscript"/>
        <sz val="18"/>
        <rFont val="Myriad Pro"/>
      </rPr>
      <t>-1</t>
    </r>
    <r>
      <rPr>
        <sz val="18"/>
        <rFont val="Myriad Pro"/>
      </rPr>
      <t>]</t>
    </r>
    <phoneticPr fontId="1" type="noConversion"/>
  </si>
  <si>
    <r>
      <t>w</t>
    </r>
    <r>
      <rPr>
        <vertAlign val="subscript"/>
        <sz val="18"/>
        <rFont val="Myriad Pro"/>
      </rPr>
      <t>pe</t>
    </r>
    <r>
      <rPr>
        <sz val="18"/>
        <rFont val="Myriad Pro"/>
      </rPr>
      <t xml:space="preserve"> [rad s</t>
    </r>
    <r>
      <rPr>
        <vertAlign val="superscript"/>
        <sz val="18"/>
        <rFont val="Myriad Pro"/>
      </rPr>
      <t>-1</t>
    </r>
    <r>
      <rPr>
        <sz val="18"/>
        <rFont val="Myriad Pro"/>
      </rPr>
      <t>]</t>
    </r>
    <phoneticPr fontId="1" type="noConversion"/>
  </si>
  <si>
    <r>
      <t>W</t>
    </r>
    <r>
      <rPr>
        <vertAlign val="subscript"/>
        <sz val="18"/>
        <rFont val="Myriad Pro"/>
      </rPr>
      <t>cp</t>
    </r>
    <r>
      <rPr>
        <sz val="18"/>
        <rFont val="Myriad Pro"/>
      </rPr>
      <t xml:space="preserve"> [rad s</t>
    </r>
    <r>
      <rPr>
        <vertAlign val="superscript"/>
        <sz val="18"/>
        <rFont val="Myriad Pro"/>
      </rPr>
      <t>-1</t>
    </r>
    <r>
      <rPr>
        <sz val="18"/>
        <rFont val="Myriad Pro"/>
      </rPr>
      <t>]</t>
    </r>
    <phoneticPr fontId="1" type="noConversion"/>
  </si>
  <si>
    <r>
      <t>w</t>
    </r>
    <r>
      <rPr>
        <vertAlign val="subscript"/>
        <sz val="18"/>
        <rFont val="Myriad Pro"/>
      </rPr>
      <t>pp</t>
    </r>
    <r>
      <rPr>
        <sz val="18"/>
        <rFont val="Myriad Pro"/>
      </rPr>
      <t xml:space="preserve"> [rad s</t>
    </r>
    <r>
      <rPr>
        <vertAlign val="superscript"/>
        <sz val="18"/>
        <rFont val="Myriad Pro"/>
      </rPr>
      <t>-1</t>
    </r>
    <r>
      <rPr>
        <sz val="18"/>
        <rFont val="Myriad Pro"/>
      </rPr>
      <t>]</t>
    </r>
    <phoneticPr fontId="1" type="noConversion"/>
  </si>
  <si>
    <r>
      <t>V</t>
    </r>
    <r>
      <rPr>
        <vertAlign val="subscript"/>
        <sz val="18"/>
        <rFont val="Myriad Pro"/>
      </rPr>
      <t>Te</t>
    </r>
    <r>
      <rPr>
        <sz val="18"/>
        <rFont val="Myriad Pro"/>
      </rPr>
      <t xml:space="preserve"> [m/s]</t>
    </r>
    <phoneticPr fontId="1" type="noConversion"/>
  </si>
  <si>
    <r>
      <t>B</t>
    </r>
    <r>
      <rPr>
        <vertAlign val="subscript"/>
        <sz val="18"/>
        <rFont val="Myriad Pro"/>
      </rPr>
      <t>x</t>
    </r>
    <r>
      <rPr>
        <sz val="18"/>
        <rFont val="Myriad Pro"/>
      </rPr>
      <t xml:space="preserve"> [GSE, nT]</t>
    </r>
    <phoneticPr fontId="1" type="noConversion"/>
  </si>
  <si>
    <r>
      <t>B</t>
    </r>
    <r>
      <rPr>
        <vertAlign val="subscript"/>
        <sz val="18"/>
        <rFont val="Myriad Pro"/>
      </rPr>
      <t>y</t>
    </r>
    <r>
      <rPr>
        <sz val="18"/>
        <rFont val="Myriad Pro"/>
      </rPr>
      <t xml:space="preserve"> [GSE, nT]</t>
    </r>
    <phoneticPr fontId="1" type="noConversion"/>
  </si>
  <si>
    <r>
      <t>B</t>
    </r>
    <r>
      <rPr>
        <vertAlign val="subscript"/>
        <sz val="18"/>
        <rFont val="Myriad Pro"/>
      </rPr>
      <t>z</t>
    </r>
    <r>
      <rPr>
        <sz val="18"/>
        <rFont val="Myriad Pro"/>
      </rPr>
      <t xml:space="preserve"> [GSE, nT]</t>
    </r>
    <phoneticPr fontId="1" type="noConversion"/>
  </si>
  <si>
    <r>
      <t>B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[nT]</t>
    </r>
    <phoneticPr fontId="1" type="noConversion"/>
  </si>
  <si>
    <r>
      <t>V</t>
    </r>
    <r>
      <rPr>
        <vertAlign val="subscript"/>
        <sz val="18"/>
        <rFont val="Myriad Pro"/>
      </rPr>
      <t>x</t>
    </r>
    <r>
      <rPr>
        <sz val="18"/>
        <rFont val="Myriad Pro"/>
      </rPr>
      <t xml:space="preserve"> [GSE, km/s]</t>
    </r>
    <phoneticPr fontId="1" type="noConversion"/>
  </si>
  <si>
    <r>
      <t>V</t>
    </r>
    <r>
      <rPr>
        <vertAlign val="subscript"/>
        <sz val="18"/>
        <rFont val="Myriad Pro"/>
      </rPr>
      <t>y</t>
    </r>
    <r>
      <rPr>
        <sz val="18"/>
        <rFont val="Myriad Pro"/>
      </rPr>
      <t xml:space="preserve"> [GSE, km/s]</t>
    </r>
    <phoneticPr fontId="1" type="noConversion"/>
  </si>
  <si>
    <r>
      <t>V</t>
    </r>
    <r>
      <rPr>
        <vertAlign val="subscript"/>
        <sz val="18"/>
        <rFont val="Myriad Pro"/>
      </rPr>
      <t>z</t>
    </r>
    <r>
      <rPr>
        <sz val="18"/>
        <rFont val="Myriad Pro"/>
      </rPr>
      <t xml:space="preserve"> [GSE, km/s]</t>
    </r>
    <phoneticPr fontId="1" type="noConversion"/>
  </si>
  <si>
    <r>
      <t>V</t>
    </r>
    <r>
      <rPr>
        <vertAlign val="subscript"/>
        <sz val="18"/>
        <rFont val="Myriad Pro"/>
      </rPr>
      <t>bulk</t>
    </r>
    <r>
      <rPr>
        <sz val="18"/>
        <rFont val="Myriad Pro"/>
      </rPr>
      <t xml:space="preserve"> [km/s]</t>
    </r>
    <phoneticPr fontId="1" type="noConversion"/>
  </si>
  <si>
    <t>Shock Params</t>
    <phoneticPr fontId="1" type="noConversion"/>
  </si>
  <si>
    <r>
      <t>L</t>
    </r>
    <r>
      <rPr>
        <vertAlign val="subscript"/>
        <sz val="18"/>
        <rFont val="Myriad Pro"/>
      </rPr>
      <t>sh</t>
    </r>
    <r>
      <rPr>
        <sz val="18"/>
        <rFont val="Myriad Pro"/>
      </rPr>
      <t xml:space="preserve"> [km]</t>
    </r>
    <phoneticPr fontId="1" type="noConversion"/>
  </si>
  <si>
    <r>
      <t>V</t>
    </r>
    <r>
      <rPr>
        <vertAlign val="subscript"/>
        <sz val="18"/>
        <rFont val="Myriad Pro"/>
      </rPr>
      <t>shn</t>
    </r>
    <r>
      <rPr>
        <sz val="18"/>
        <rFont val="Myriad Pro"/>
      </rPr>
      <t xml:space="preserve"> [km/s]</t>
    </r>
    <phoneticPr fontId="1" type="noConversion"/>
  </si>
  <si>
    <r>
      <t>U</t>
    </r>
    <r>
      <rPr>
        <vertAlign val="subscript"/>
        <sz val="18"/>
        <rFont val="Myriad Pro"/>
      </rPr>
      <t>shn</t>
    </r>
    <r>
      <rPr>
        <sz val="18"/>
        <rFont val="Myriad Pro"/>
      </rPr>
      <t xml:space="preserve"> [km/s, up]</t>
    </r>
    <phoneticPr fontId="1" type="noConversion"/>
  </si>
  <si>
    <r>
      <t>U</t>
    </r>
    <r>
      <rPr>
        <vertAlign val="subscript"/>
        <sz val="18"/>
        <rFont val="Myriad Pro"/>
      </rPr>
      <t>shn</t>
    </r>
    <r>
      <rPr>
        <sz val="18"/>
        <rFont val="Myriad Pro"/>
      </rPr>
      <t xml:space="preserve"> [km/s, dn]</t>
    </r>
    <phoneticPr fontId="1" type="noConversion"/>
  </si>
  <si>
    <r>
      <t>M</t>
    </r>
    <r>
      <rPr>
        <vertAlign val="subscript"/>
        <sz val="18"/>
        <rFont val="Myriad Pro"/>
      </rPr>
      <t>A</t>
    </r>
    <r>
      <rPr>
        <sz val="18"/>
        <rFont val="Myriad Pro"/>
      </rPr>
      <t xml:space="preserve"> [up]</t>
    </r>
    <phoneticPr fontId="1" type="noConversion"/>
  </si>
  <si>
    <r>
      <t>M</t>
    </r>
    <r>
      <rPr>
        <vertAlign val="subscript"/>
        <sz val="18"/>
        <rFont val="Myriad Pro"/>
      </rPr>
      <t>s</t>
    </r>
    <r>
      <rPr>
        <sz val="18"/>
        <rFont val="Myriad Pro"/>
      </rPr>
      <t xml:space="preserve"> [up]</t>
    </r>
    <phoneticPr fontId="1" type="noConversion"/>
  </si>
  <si>
    <r>
      <t>M</t>
    </r>
    <r>
      <rPr>
        <vertAlign val="subscript"/>
        <sz val="18"/>
        <rFont val="Myriad Pro"/>
      </rPr>
      <t>f</t>
    </r>
    <r>
      <rPr>
        <sz val="18"/>
        <rFont val="Myriad Pro"/>
      </rPr>
      <t xml:space="preserve"> [up]</t>
    </r>
    <phoneticPr fontId="1" type="noConversion"/>
  </si>
  <si>
    <r>
      <t>∆B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[nT]</t>
    </r>
    <phoneticPr fontId="1" type="noConversion"/>
  </si>
  <si>
    <r>
      <t>∆B</t>
    </r>
    <r>
      <rPr>
        <vertAlign val="subscript"/>
        <sz val="18"/>
        <rFont val="Myriad Pro"/>
      </rPr>
      <t>o</t>
    </r>
    <r>
      <rPr>
        <sz val="18"/>
        <rFont val="Myriad Pro"/>
      </rPr>
      <t>/(</t>
    </r>
    <r>
      <rPr>
        <sz val="18"/>
        <rFont val="Symbol"/>
      </rPr>
      <t>m</t>
    </r>
    <r>
      <rPr>
        <vertAlign val="subscript"/>
        <sz val="18"/>
        <rFont val="Myriad Pro"/>
      </rPr>
      <t>o</t>
    </r>
    <r>
      <rPr>
        <sz val="18"/>
        <rFont val="Myriad Pro"/>
      </rPr>
      <t xml:space="preserve"> L</t>
    </r>
    <r>
      <rPr>
        <vertAlign val="subscript"/>
        <sz val="18"/>
        <rFont val="Myriad Pro"/>
      </rPr>
      <t>sh</t>
    </r>
    <r>
      <rPr>
        <sz val="18"/>
        <rFont val="Myriad Pro"/>
      </rPr>
      <t>) [</t>
    </r>
    <r>
      <rPr>
        <sz val="18"/>
        <rFont val="Symbol"/>
      </rPr>
      <t>m</t>
    </r>
    <r>
      <rPr>
        <sz val="18"/>
        <rFont val="Myriad Pro"/>
      </rPr>
      <t>A m</t>
    </r>
    <r>
      <rPr>
        <vertAlign val="superscript"/>
        <sz val="18"/>
        <rFont val="Myriad Pro"/>
      </rPr>
      <t>-2</t>
    </r>
    <r>
      <rPr>
        <sz val="18"/>
        <rFont val="Myriad Pro"/>
      </rPr>
      <t>]</t>
    </r>
    <phoneticPr fontId="1" type="noConversion"/>
  </si>
  <si>
    <t>factor</t>
    <phoneticPr fontId="1" type="noConversion"/>
  </si>
  <si>
    <r>
      <t>h</t>
    </r>
    <r>
      <rPr>
        <sz val="18"/>
        <rFont val="Myriad Pro"/>
      </rPr>
      <t xml:space="preserve"> [</t>
    </r>
    <r>
      <rPr>
        <sz val="18"/>
        <rFont val="Symbol"/>
      </rPr>
      <t>W</t>
    </r>
    <r>
      <rPr>
        <sz val="18"/>
        <rFont val="Myriad Pro"/>
      </rPr>
      <t xml:space="preserve"> m, Avg.]</t>
    </r>
    <phoneticPr fontId="1" type="noConversion"/>
  </si>
  <si>
    <r>
      <t>h</t>
    </r>
    <r>
      <rPr>
        <sz val="18"/>
        <rFont val="Myriad Pro"/>
      </rPr>
      <t xml:space="preserve"> [</t>
    </r>
    <r>
      <rPr>
        <sz val="18"/>
        <rFont val="Symbol"/>
      </rPr>
      <t>W</t>
    </r>
    <r>
      <rPr>
        <sz val="18"/>
        <rFont val="Myriad Pro"/>
      </rPr>
      <t xml:space="preserve"> m, Min.]</t>
    </r>
    <phoneticPr fontId="1" type="noConversion"/>
  </si>
  <si>
    <r>
      <t>h</t>
    </r>
    <r>
      <rPr>
        <sz val="18"/>
        <rFont val="Myriad Pro"/>
      </rPr>
      <t xml:space="preserve"> [</t>
    </r>
    <r>
      <rPr>
        <sz val="18"/>
        <rFont val="Symbol"/>
      </rPr>
      <t>W</t>
    </r>
    <r>
      <rPr>
        <sz val="18"/>
        <rFont val="Myriad Pro"/>
      </rPr>
      <t xml:space="preserve"> m, Max.]</t>
    </r>
    <phoneticPr fontId="1" type="noConversion"/>
  </si>
  <si>
    <r>
      <t>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[cm</t>
    </r>
    <r>
      <rPr>
        <vertAlign val="superscript"/>
        <sz val="18"/>
        <rFont val="Myriad Pro"/>
      </rPr>
      <t>-3</t>
    </r>
    <r>
      <rPr>
        <sz val="18"/>
        <rFont val="Myriad Pro"/>
      </rPr>
      <t>]</t>
    </r>
    <phoneticPr fontId="1" type="noConversion"/>
  </si>
  <si>
    <r>
      <t>T</t>
    </r>
    <r>
      <rPr>
        <vertAlign val="subscript"/>
        <sz val="18"/>
        <rFont val="Myriad Pro"/>
      </rPr>
      <t>e</t>
    </r>
    <r>
      <rPr>
        <sz val="18"/>
        <rFont val="Myriad Pro"/>
      </rPr>
      <t xml:space="preserve"> [eV]</t>
    </r>
    <phoneticPr fontId="1" type="noConversion"/>
  </si>
  <si>
    <r>
      <t>T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[eV]</t>
    </r>
    <phoneticPr fontId="1" type="noConversion"/>
  </si>
  <si>
    <r>
      <t>b</t>
    </r>
    <r>
      <rPr>
        <vertAlign val="subscript"/>
        <sz val="18"/>
        <rFont val="Myriad Pro"/>
      </rPr>
      <t>e</t>
    </r>
    <r>
      <rPr>
        <sz val="18"/>
        <rFont val="Myriad Pro"/>
      </rPr>
      <t xml:space="preserve"> [unitless]</t>
    </r>
    <phoneticPr fontId="1" type="noConversion"/>
  </si>
  <si>
    <r>
      <t>b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[unitless]</t>
    </r>
    <phoneticPr fontId="1" type="noConversion"/>
  </si>
  <si>
    <r>
      <t>b</t>
    </r>
    <r>
      <rPr>
        <vertAlign val="subscript"/>
        <sz val="18"/>
        <rFont val="Myriad Pro"/>
      </rPr>
      <t>tot</t>
    </r>
    <r>
      <rPr>
        <sz val="18"/>
        <rFont val="Myriad Pro"/>
      </rPr>
      <t xml:space="preserve"> [unitless]</t>
    </r>
    <phoneticPr fontId="1" type="noConversion"/>
  </si>
  <si>
    <r>
      <t xml:space="preserve">Upstream </t>
    </r>
    <r>
      <rPr>
        <b/>
        <sz val="14"/>
        <rFont val="Symbol"/>
      </rPr>
      <t>s</t>
    </r>
    <r>
      <rPr>
        <b/>
        <vertAlign val="subscript"/>
        <sz val="14"/>
        <rFont val="Myriad Pro"/>
      </rPr>
      <t>&lt;Q&gt;</t>
    </r>
    <phoneticPr fontId="1" type="noConversion"/>
  </si>
  <si>
    <r>
      <t xml:space="preserve">Downstream </t>
    </r>
    <r>
      <rPr>
        <b/>
        <sz val="14"/>
        <rFont val="Symbol"/>
      </rPr>
      <t>s</t>
    </r>
    <r>
      <rPr>
        <b/>
        <vertAlign val="subscript"/>
        <sz val="14"/>
        <rFont val="Myriad Pro"/>
      </rPr>
      <t>&lt;Q&gt;</t>
    </r>
    <phoneticPr fontId="1" type="noConversion"/>
  </si>
  <si>
    <t>c [m/s] =</t>
    <phoneticPr fontId="1" type="noConversion"/>
  </si>
  <si>
    <t>Upstream &lt;Q&gt;</t>
    <phoneticPr fontId="1" type="noConversion"/>
  </si>
  <si>
    <t>Downstream &lt;Q&gt;</t>
    <phoneticPr fontId="1" type="noConversion"/>
  </si>
  <si>
    <r>
      <t xml:space="preserve">Upstream </t>
    </r>
    <r>
      <rPr>
        <b/>
        <sz val="14"/>
        <rFont val="Symbol"/>
      </rPr>
      <t>s</t>
    </r>
    <r>
      <rPr>
        <b/>
        <vertAlign val="subscript"/>
        <sz val="14"/>
        <rFont val="Myriad Pro"/>
      </rPr>
      <t>Q</t>
    </r>
    <phoneticPr fontId="1" type="noConversion"/>
  </si>
  <si>
    <r>
      <t xml:space="preserve">Downstream </t>
    </r>
    <r>
      <rPr>
        <b/>
        <sz val="14"/>
        <rFont val="Symbol"/>
      </rPr>
      <t>s</t>
    </r>
    <r>
      <rPr>
        <b/>
        <vertAlign val="subscript"/>
        <sz val="14"/>
        <rFont val="Myriad Pro"/>
      </rPr>
      <t>Q</t>
    </r>
    <phoneticPr fontId="1" type="noConversion"/>
  </si>
  <si>
    <t>Avg</t>
    <phoneticPr fontId="1" type="noConversion"/>
  </si>
  <si>
    <t>Std. Dev.</t>
    <phoneticPr fontId="1" type="noConversion"/>
  </si>
  <si>
    <t>Std. Dev. Mean</t>
    <phoneticPr fontId="1" type="noConversion"/>
  </si>
  <si>
    <t>Min</t>
    <phoneticPr fontId="1" type="noConversion"/>
  </si>
  <si>
    <t>Max</t>
    <phoneticPr fontId="1" type="noConversion"/>
  </si>
  <si>
    <r>
      <t>D</t>
    </r>
    <r>
      <rPr>
        <sz val="18"/>
        <rFont val="Myriad Pro"/>
      </rPr>
      <t>t</t>
    </r>
    <r>
      <rPr>
        <vertAlign val="subscript"/>
        <sz val="18"/>
        <rFont val="Myriad Pro"/>
      </rPr>
      <t>ESW</t>
    </r>
    <r>
      <rPr>
        <sz val="18"/>
        <rFont val="Myriad Pro"/>
      </rPr>
      <t xml:space="preserve"> [s] = </t>
    </r>
    <phoneticPr fontId="1" type="noConversion"/>
  </si>
  <si>
    <r>
      <t>D</t>
    </r>
    <r>
      <rPr>
        <sz val="18"/>
        <rFont val="Myriad Pro"/>
      </rPr>
      <t>x</t>
    </r>
    <r>
      <rPr>
        <vertAlign val="subscript"/>
        <sz val="18"/>
        <rFont val="Myriad Pro"/>
      </rPr>
      <t>ESW</t>
    </r>
    <r>
      <rPr>
        <sz val="18"/>
        <rFont val="Myriad Pro"/>
      </rPr>
      <t xml:space="preserve"> [m] = </t>
    </r>
    <phoneticPr fontId="1" type="noConversion"/>
  </si>
  <si>
    <r>
      <t>D</t>
    </r>
    <r>
      <rPr>
        <sz val="18"/>
        <rFont val="Myriad Pro"/>
      </rPr>
      <t>x</t>
    </r>
    <r>
      <rPr>
        <vertAlign val="subscript"/>
        <sz val="18"/>
        <rFont val="Myriad Pro"/>
      </rPr>
      <t>ESW</t>
    </r>
    <r>
      <rPr>
        <sz val="18"/>
        <rFont val="Myriad Pro"/>
      </rPr>
      <t xml:space="preserve"> [&lt;</t>
    </r>
    <r>
      <rPr>
        <sz val="18"/>
        <rFont val="Symbol"/>
      </rPr>
      <t>l</t>
    </r>
    <r>
      <rPr>
        <vertAlign val="subscript"/>
        <sz val="18"/>
        <rFont val="Myriad Pro"/>
      </rPr>
      <t>De</t>
    </r>
    <r>
      <rPr>
        <sz val="18"/>
        <rFont val="Myriad Pro"/>
      </rPr>
      <t>&gt;</t>
    </r>
    <r>
      <rPr>
        <vertAlign val="subscript"/>
        <sz val="18"/>
        <rFont val="Myriad Pro"/>
      </rPr>
      <t>up</t>
    </r>
    <r>
      <rPr>
        <sz val="18"/>
        <rFont val="Myriad Pro"/>
      </rPr>
      <t xml:space="preserve">] = </t>
    </r>
    <phoneticPr fontId="1" type="noConversion"/>
  </si>
  <si>
    <r>
      <t>d</t>
    </r>
    <r>
      <rPr>
        <sz val="18"/>
        <rFont val="Myriad Pro"/>
      </rPr>
      <t>E</t>
    </r>
    <r>
      <rPr>
        <vertAlign val="subscript"/>
        <sz val="18"/>
        <rFont val="Myriad Pro"/>
      </rPr>
      <t>ESW</t>
    </r>
    <r>
      <rPr>
        <sz val="18"/>
        <rFont val="Myriad Pro"/>
      </rPr>
      <t xml:space="preserve"> [mV/m, pk-pk] = </t>
    </r>
    <phoneticPr fontId="1" type="noConversion"/>
  </si>
  <si>
    <r>
      <t>(N</t>
    </r>
    <r>
      <rPr>
        <vertAlign val="subscript"/>
        <sz val="18"/>
        <rFont val="Myriad Pro"/>
      </rPr>
      <t>i</t>
    </r>
    <r>
      <rPr>
        <sz val="18"/>
        <rFont val="Myriad Pro"/>
      </rPr>
      <t xml:space="preserve"> k</t>
    </r>
    <r>
      <rPr>
        <vertAlign val="subscript"/>
        <sz val="18"/>
        <rFont val="Myriad Pro"/>
      </rPr>
      <t>B</t>
    </r>
    <r>
      <rPr>
        <sz val="18"/>
        <rFont val="Myriad Pro"/>
      </rPr>
      <t xml:space="preserve"> T</t>
    </r>
    <r>
      <rPr>
        <vertAlign val="subscript"/>
        <sz val="18"/>
        <rFont val="Myriad Pro"/>
      </rPr>
      <t>e</t>
    </r>
    <r>
      <rPr>
        <sz val="18"/>
        <rFont val="Myriad Pro"/>
      </rPr>
      <t>)</t>
    </r>
    <r>
      <rPr>
        <vertAlign val="subscript"/>
        <sz val="18"/>
        <rFont val="Myriad Pro"/>
      </rPr>
      <t>up</t>
    </r>
    <r>
      <rPr>
        <sz val="18"/>
        <rFont val="Myriad Pro"/>
      </rPr>
      <t xml:space="preserve"> =</t>
    </r>
    <phoneticPr fontId="1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</si>
</sst>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000E+00"/>
    <numFmt numFmtId="166" formatCode="0.0000E+00"/>
    <numFmt numFmtId="167" formatCode="yyyy\-mm\-dd"/>
  </numFmts>
  <fonts count="13">
    <font>
      <sz val="10"/>
      <name val="Myriad Pro"/>
    </font>
    <font>
      <sz val="8"/>
      <name val="Myriad Pro"/>
    </font>
    <font>
      <b/>
      <sz val="14"/>
      <name val="Myriad Pro"/>
    </font>
    <font>
      <sz val="14"/>
      <name val="Myriad Pro"/>
    </font>
    <font>
      <sz val="14"/>
      <name val="Symbol"/>
    </font>
    <font>
      <b/>
      <sz val="14"/>
      <name val="Symbol"/>
    </font>
    <font>
      <b/>
      <vertAlign val="subscript"/>
      <sz val="14"/>
      <name val="Myriad Pro"/>
    </font>
    <font>
      <vertAlign val="subscript"/>
      <sz val="14"/>
      <name val="Myriad Pro"/>
    </font>
    <font>
      <sz val="18"/>
      <name val="Myriad Pro"/>
    </font>
    <font>
      <vertAlign val="subscript"/>
      <sz val="18"/>
      <name val="Myriad Pro"/>
    </font>
    <font>
      <vertAlign val="superscript"/>
      <sz val="18"/>
      <name val="Myriad Pro"/>
    </font>
    <font>
      <sz val="18"/>
      <name val="Symbol"/>
    </font>
    <font>
      <vertAlign val="subscript"/>
      <sz val="18"/>
      <name val="Symbo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2" fillId="2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7" fontId="2" fillId="2" borderId="2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2" fillId="2" borderId="6" xfId="0" applyNumberFormat="1" applyFont="1" applyFill="1" applyBorder="1" applyAlignment="1">
      <alignment horizontal="center" vertical="center"/>
    </xf>
    <xf numFmtId="167" fontId="2" fillId="2" borderId="7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center" vertical="center"/>
    </xf>
    <xf numFmtId="167" fontId="2" fillId="2" borderId="9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167" fontId="2" fillId="2" borderId="1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D102"/>
  <sheetViews>
    <sheetView tabSelected="1" topLeftCell="A72" zoomScale="80" workbookViewId="0">
      <selection activeCell="B107" sqref="B107"/>
    </sheetView>
  </sheetViews>
  <sheetFormatPr baseColWidth="10" defaultRowHeight="18"/>
  <cols>
    <col min="1" max="1" width="29.5" style="3" customWidth="1"/>
    <col min="2" max="2" width="20.1640625" style="3" customWidth="1"/>
    <col min="3" max="12" width="18" style="3" customWidth="1"/>
    <col min="13" max="13" width="18" style="28" customWidth="1"/>
    <col min="14" max="16" width="18" style="25" customWidth="1"/>
    <col min="17" max="17" width="18" style="34" customWidth="1"/>
    <col min="18" max="18" width="10.83203125" style="2"/>
    <col min="19" max="19" width="18.1640625" style="2" customWidth="1"/>
    <col min="20" max="20" width="22" style="3" customWidth="1"/>
    <col min="21" max="21" width="10.83203125" style="2"/>
    <col min="22" max="22" width="19.83203125" style="2" customWidth="1"/>
    <col min="23" max="23" width="20.5" style="2" customWidth="1"/>
    <col min="24" max="24" width="10.83203125" style="2"/>
    <col min="25" max="25" width="28.33203125" style="2" bestFit="1" customWidth="1"/>
    <col min="26" max="26" width="24.6640625" style="3" bestFit="1" customWidth="1"/>
    <col min="27" max="27" width="20.33203125" style="3" bestFit="1" customWidth="1"/>
    <col min="28" max="28" width="13" style="3" customWidth="1"/>
    <col min="29" max="29" width="18.1640625" style="3" bestFit="1" customWidth="1"/>
    <col min="30" max="30" width="10.83203125" style="3"/>
    <col min="31" max="16384" width="10.83203125" style="2"/>
  </cols>
  <sheetData>
    <row r="1" spans="1:30" ht="24">
      <c r="A1" s="1" t="s">
        <v>89</v>
      </c>
      <c r="B1" s="12">
        <v>38545</v>
      </c>
      <c r="C1" s="12">
        <v>38553</v>
      </c>
      <c r="D1" s="12">
        <v>38555</v>
      </c>
      <c r="E1" s="12">
        <v>38555</v>
      </c>
      <c r="F1" s="12">
        <v>38555</v>
      </c>
      <c r="G1" s="12">
        <v>38599</v>
      </c>
      <c r="H1" s="12">
        <v>38599</v>
      </c>
      <c r="I1" s="12">
        <v>38599</v>
      </c>
      <c r="J1" s="12">
        <v>38620</v>
      </c>
      <c r="K1" s="12">
        <v>39378</v>
      </c>
      <c r="L1" s="23">
        <v>39378</v>
      </c>
      <c r="M1" s="35" t="s">
        <v>93</v>
      </c>
      <c r="N1" s="12" t="s">
        <v>96</v>
      </c>
      <c r="O1" s="12" t="s">
        <v>97</v>
      </c>
      <c r="P1" s="12" t="s">
        <v>94</v>
      </c>
      <c r="Q1" s="36" t="s">
        <v>95</v>
      </c>
      <c r="Z1" s="5"/>
      <c r="AA1" s="5"/>
      <c r="AB1" s="5"/>
      <c r="AC1" s="5" t="s">
        <v>2</v>
      </c>
    </row>
    <row r="2" spans="1:30" ht="24">
      <c r="A2" s="5" t="s">
        <v>58</v>
      </c>
      <c r="B2" s="9">
        <v>-3.0443699999999998</v>
      </c>
      <c r="C2" s="9">
        <v>3.66873</v>
      </c>
      <c r="D2" s="9">
        <v>0.18060999999999999</v>
      </c>
      <c r="E2" s="9">
        <v>-0.38117000000000001</v>
      </c>
      <c r="F2" s="9">
        <v>3.6068799999999999</v>
      </c>
      <c r="G2" s="9">
        <v>0.61278999999999995</v>
      </c>
      <c r="H2" s="9">
        <v>-1.0733299999999999</v>
      </c>
      <c r="I2" s="9">
        <v>-0.27134000000000003</v>
      </c>
      <c r="J2" s="9">
        <v>2.2368100000000002</v>
      </c>
      <c r="K2" s="9">
        <v>6.3129099999999996</v>
      </c>
      <c r="L2" s="9">
        <v>4.2246600000000001</v>
      </c>
      <c r="M2" s="26">
        <f>AVERAGE(B2:L2)</f>
        <v>1.4611981818181818</v>
      </c>
      <c r="N2" s="24">
        <f>MIN(B2:L2)</f>
        <v>-3.0443699999999998</v>
      </c>
      <c r="O2" s="24">
        <f>MAX(B2:L2)</f>
        <v>6.3129099999999996</v>
      </c>
      <c r="P2" s="24">
        <f>STDEV(B2:L2)</f>
        <v>2.7700945655620424</v>
      </c>
      <c r="Q2" s="32">
        <f>P2/SQRT(COUNT(B2:L2))</f>
        <v>0.83521493707016736</v>
      </c>
      <c r="S2" s="7" t="s">
        <v>27</v>
      </c>
      <c r="T2" s="10">
        <f>1.602176565*10^(-19)</f>
        <v>1.6021765649999998E-19</v>
      </c>
      <c r="W2" s="10"/>
      <c r="Z2" s="5" t="s">
        <v>3</v>
      </c>
      <c r="AA2" s="5" t="s">
        <v>4</v>
      </c>
      <c r="AB2" s="20">
        <v>0.36</v>
      </c>
      <c r="AC2" s="20">
        <v>0.3</v>
      </c>
    </row>
    <row r="3" spans="1:30" ht="24">
      <c r="A3" s="5" t="s">
        <v>59</v>
      </c>
      <c r="B3" s="9">
        <v>1.3383499999999999</v>
      </c>
      <c r="C3" s="9">
        <v>7.6250499999999999</v>
      </c>
      <c r="D3" s="9">
        <v>0.28358</v>
      </c>
      <c r="E3" s="9">
        <v>-3.737E-2</v>
      </c>
      <c r="F3" s="9">
        <v>-5.2542499999999999</v>
      </c>
      <c r="G3" s="9">
        <v>-0.57618999999999998</v>
      </c>
      <c r="H3" s="9">
        <v>-1.0625199999999999</v>
      </c>
      <c r="I3" s="9">
        <v>-1.2755399999999999</v>
      </c>
      <c r="J3" s="9">
        <v>0.21692</v>
      </c>
      <c r="K3" s="9">
        <v>-2.30938</v>
      </c>
      <c r="L3" s="9">
        <v>15.186299999999999</v>
      </c>
      <c r="M3" s="26">
        <f t="shared" ref="M3:M19" si="0">AVERAGE(B3:L3)</f>
        <v>1.2849954545454547</v>
      </c>
      <c r="N3" s="24">
        <f t="shared" ref="N3:N19" si="1">MIN(B3:L3)</f>
        <v>-5.2542499999999999</v>
      </c>
      <c r="O3" s="24">
        <f t="shared" ref="O3:O19" si="2">MAX(B3:L3)</f>
        <v>15.186299999999999</v>
      </c>
      <c r="P3" s="24">
        <f t="shared" ref="P3:P19" si="3">STDEV(B3:L3)</f>
        <v>5.5547288218190518</v>
      </c>
      <c r="Q3" s="32">
        <f t="shared" ref="Q3:Q19" si="4">P3/SQRT(COUNT(B3:L3))</f>
        <v>1.674813755831519</v>
      </c>
      <c r="S3" s="7" t="s">
        <v>34</v>
      </c>
      <c r="T3" s="10">
        <f>1.3806488*10^(-23)</f>
        <v>1.3806488E-23</v>
      </c>
      <c r="W3" s="10"/>
    </row>
    <row r="4" spans="1:30" ht="24">
      <c r="A4" s="5" t="s">
        <v>60</v>
      </c>
      <c r="B4" s="9">
        <v>-1.4837</v>
      </c>
      <c r="C4" s="9">
        <v>0.87878999999999996</v>
      </c>
      <c r="D4" s="9">
        <v>-5.7239399999999998</v>
      </c>
      <c r="E4" s="9">
        <v>-6.4043299999999999</v>
      </c>
      <c r="F4" s="9">
        <v>0.84648000000000001</v>
      </c>
      <c r="G4" s="9">
        <v>-0.29177999999999998</v>
      </c>
      <c r="H4" s="9">
        <v>-0.23282</v>
      </c>
      <c r="I4" s="9">
        <v>-0.27750000000000002</v>
      </c>
      <c r="J4" s="9">
        <v>-2.02624</v>
      </c>
      <c r="K4" s="9">
        <v>-9.6908499999999993</v>
      </c>
      <c r="L4" s="9">
        <v>-9.2215199999999999</v>
      </c>
      <c r="M4" s="26">
        <f t="shared" si="0"/>
        <v>-3.0570372727272725</v>
      </c>
      <c r="N4" s="24">
        <f t="shared" si="1"/>
        <v>-9.6908499999999993</v>
      </c>
      <c r="O4" s="24">
        <f t="shared" si="2"/>
        <v>0.87878999999999996</v>
      </c>
      <c r="P4" s="24">
        <f t="shared" si="3"/>
        <v>3.9741647223412642</v>
      </c>
      <c r="Q4" s="32">
        <f t="shared" si="4"/>
        <v>1.1982557490066292</v>
      </c>
      <c r="S4" s="8" t="s">
        <v>28</v>
      </c>
      <c r="T4" s="10">
        <f>4*PI()*10^(-7)</f>
        <v>1.2566370614359173E-6</v>
      </c>
      <c r="V4" s="7" t="s">
        <v>35</v>
      </c>
      <c r="W4" s="10">
        <f>1.602176565*10^(-19)</f>
        <v>1.6021765649999998E-19</v>
      </c>
    </row>
    <row r="5" spans="1:30" ht="24">
      <c r="A5" s="5" t="s">
        <v>61</v>
      </c>
      <c r="B5" s="9">
        <v>3.698</v>
      </c>
      <c r="C5" s="9">
        <v>7.7080299999999999</v>
      </c>
      <c r="D5" s="9">
        <v>6.0517099999999999</v>
      </c>
      <c r="E5" s="9">
        <v>6.0803700000000003</v>
      </c>
      <c r="F5" s="9">
        <v>6.4133399999999998</v>
      </c>
      <c r="G5" s="9">
        <v>0.91615999999999997</v>
      </c>
      <c r="H5" s="9">
        <v>1.63636</v>
      </c>
      <c r="I5" s="9">
        <v>1.40276</v>
      </c>
      <c r="J5" s="9">
        <v>3.1341600000000001</v>
      </c>
      <c r="K5" s="9">
        <v>16.217700000000001</v>
      </c>
      <c r="L5" s="9">
        <v>18.175840000000001</v>
      </c>
      <c r="M5" s="26">
        <f t="shared" si="0"/>
        <v>6.4940390909090917</v>
      </c>
      <c r="N5" s="24">
        <f t="shared" si="1"/>
        <v>0.91615999999999997</v>
      </c>
      <c r="O5" s="24">
        <f t="shared" si="2"/>
        <v>18.175840000000001</v>
      </c>
      <c r="P5" s="24">
        <f t="shared" si="3"/>
        <v>5.7671365820022933</v>
      </c>
      <c r="Q5" s="32">
        <f t="shared" si="4"/>
        <v>1.7388571052031194</v>
      </c>
      <c r="S5" s="8" t="s">
        <v>29</v>
      </c>
      <c r="T5" s="10">
        <f>8.854187817*10^(-12)</f>
        <v>8.8541878169999989E-12</v>
      </c>
      <c r="V5" s="7" t="s">
        <v>36</v>
      </c>
      <c r="W5" s="10">
        <f>1.1604519*10^(4)</f>
        <v>11604.519</v>
      </c>
      <c r="Y5" s="12">
        <v>38620</v>
      </c>
      <c r="Z5" s="3" t="s">
        <v>23</v>
      </c>
      <c r="AA5" s="3" t="s">
        <v>26</v>
      </c>
    </row>
    <row r="6" spans="1:30" ht="24">
      <c r="A6" s="5" t="s">
        <v>62</v>
      </c>
      <c r="B6" s="9">
        <v>-328.74599999999998</v>
      </c>
      <c r="C6" s="9">
        <v>-250.54400000000001</v>
      </c>
      <c r="D6" s="9">
        <v>-488.29</v>
      </c>
      <c r="E6" s="9">
        <v>-488.16300000000001</v>
      </c>
      <c r="F6" s="9">
        <v>-456.41899999999998</v>
      </c>
      <c r="G6" s="9">
        <v>-378.82799999999997</v>
      </c>
      <c r="H6" s="9">
        <v>-356.56200000000001</v>
      </c>
      <c r="I6" s="9">
        <v>-380.33199999999999</v>
      </c>
      <c r="J6" s="9">
        <v>-307.34500000000003</v>
      </c>
      <c r="K6" s="9">
        <v>-435.80099999999999</v>
      </c>
      <c r="L6" s="9">
        <v>-477.02800000000002</v>
      </c>
      <c r="M6" s="26">
        <f t="shared" si="0"/>
        <v>-395.27799999999991</v>
      </c>
      <c r="N6" s="24">
        <f t="shared" si="1"/>
        <v>-488.29</v>
      </c>
      <c r="O6" s="24">
        <f t="shared" si="2"/>
        <v>-250.54400000000001</v>
      </c>
      <c r="P6" s="24">
        <f t="shared" si="3"/>
        <v>80.275661081052519</v>
      </c>
      <c r="Q6" s="32">
        <f t="shared" si="4"/>
        <v>24.204022509416994</v>
      </c>
      <c r="S6" s="7" t="s">
        <v>88</v>
      </c>
      <c r="T6" s="10">
        <f>1/SQRT(T4*T5)</f>
        <v>299792458.01050287</v>
      </c>
      <c r="V6" s="7" t="s">
        <v>37</v>
      </c>
      <c r="W6" s="10">
        <f>1.782661845*10^(-36)</f>
        <v>1.7826618450000002E-36</v>
      </c>
      <c r="Y6" s="8" t="s">
        <v>98</v>
      </c>
      <c r="Z6" s="3">
        <f>1.5*10^(-3)</f>
        <v>1.5E-3</v>
      </c>
      <c r="AA6" s="3">
        <f>0.1*10^(-3)</f>
        <v>1E-4</v>
      </c>
    </row>
    <row r="7" spans="1:30" ht="24">
      <c r="A7" s="5" t="s">
        <v>63</v>
      </c>
      <c r="B7" s="9">
        <v>10.869</v>
      </c>
      <c r="C7" s="9">
        <v>37.200000000000003</v>
      </c>
      <c r="D7" s="9">
        <v>82.899000000000001</v>
      </c>
      <c r="E7" s="9">
        <v>82.926000000000002</v>
      </c>
      <c r="F7" s="9">
        <v>57.813000000000002</v>
      </c>
      <c r="G7" s="9">
        <v>5.5830000000000002</v>
      </c>
      <c r="H7" s="9">
        <v>-31.571999999999999</v>
      </c>
      <c r="I7" s="9">
        <v>-7.4189999999999996</v>
      </c>
      <c r="J7" s="9">
        <v>65.093000000000004</v>
      </c>
      <c r="K7" s="9">
        <v>-14.166</v>
      </c>
      <c r="L7" s="9">
        <v>104.80500000000001</v>
      </c>
      <c r="M7" s="26">
        <f t="shared" si="0"/>
        <v>35.820999999999998</v>
      </c>
      <c r="N7" s="24">
        <f t="shared" si="1"/>
        <v>-31.571999999999999</v>
      </c>
      <c r="O7" s="24">
        <f t="shared" si="2"/>
        <v>104.80500000000001</v>
      </c>
      <c r="P7" s="24">
        <f t="shared" si="3"/>
        <v>45.807820533179701</v>
      </c>
      <c r="Q7" s="32">
        <f t="shared" si="4"/>
        <v>13.8115775611359</v>
      </c>
      <c r="S7" s="7" t="s">
        <v>30</v>
      </c>
      <c r="T7" s="10">
        <f>9.10938291*10^(-31)</f>
        <v>9.1093829100000017E-31</v>
      </c>
      <c r="V7" s="7" t="s">
        <v>38</v>
      </c>
      <c r="W7" s="10">
        <f>T7/(W$6)/10^(6)</f>
        <v>0.51099892756160947</v>
      </c>
      <c r="Y7" s="8" t="s">
        <v>99</v>
      </c>
      <c r="Z7" s="3">
        <f>Z6*($J$9*10^(3))</f>
        <v>473.44200000000001</v>
      </c>
      <c r="AA7" s="18">
        <f>Z7*SQRT(('Std. Dev.'!$J$9/$J$9)^2 + (AA6/Z6)^2)</f>
        <v>31.604116568731989</v>
      </c>
    </row>
    <row r="8" spans="1:30" ht="24">
      <c r="A8" s="5" t="s">
        <v>64</v>
      </c>
      <c r="B8" s="9">
        <v>16.800999999999998</v>
      </c>
      <c r="C8" s="9">
        <v>6.4729999999999999</v>
      </c>
      <c r="D8" s="9">
        <v>-92.33</v>
      </c>
      <c r="E8" s="9">
        <v>-92.519000000000005</v>
      </c>
      <c r="F8" s="9">
        <v>7.7320000000000002</v>
      </c>
      <c r="G8" s="9">
        <v>-6.798</v>
      </c>
      <c r="H8" s="9">
        <v>-3.109</v>
      </c>
      <c r="I8" s="9">
        <v>-0.41799999999999998</v>
      </c>
      <c r="J8" s="9">
        <v>30.378</v>
      </c>
      <c r="K8" s="9">
        <v>-7.5659999999999998</v>
      </c>
      <c r="L8" s="9">
        <v>9.8859999999999992</v>
      </c>
      <c r="M8" s="26">
        <f t="shared" si="0"/>
        <v>-11.951818181818185</v>
      </c>
      <c r="N8" s="24">
        <f t="shared" si="1"/>
        <v>-92.519000000000005</v>
      </c>
      <c r="O8" s="24">
        <f t="shared" si="2"/>
        <v>30.378</v>
      </c>
      <c r="P8" s="24">
        <f t="shared" si="3"/>
        <v>41.268752735739859</v>
      </c>
      <c r="Q8" s="32">
        <f t="shared" si="4"/>
        <v>12.442997126400186</v>
      </c>
      <c r="S8" s="7" t="s">
        <v>31</v>
      </c>
      <c r="T8" s="10">
        <f>1.672621777*10^(-27)</f>
        <v>1.6726217770000001E-27</v>
      </c>
      <c r="V8" s="7" t="s">
        <v>39</v>
      </c>
      <c r="W8" s="10">
        <f t="shared" ref="W8:W10" si="5">T8/(W$6)/10^(6)</f>
        <v>938.27204620515113</v>
      </c>
      <c r="Y8" s="8" t="s">
        <v>100</v>
      </c>
      <c r="Z8" s="15">
        <f>Z7/$J$27</f>
        <v>70.554456728731111</v>
      </c>
    </row>
    <row r="9" spans="1:30" ht="24">
      <c r="A9" s="5" t="s">
        <v>65</v>
      </c>
      <c r="B9" s="9">
        <v>329.77</v>
      </c>
      <c r="C9" s="9">
        <v>254.66499999999999</v>
      </c>
      <c r="D9" s="9">
        <v>503.81599999999997</v>
      </c>
      <c r="E9" s="9">
        <v>503.733</v>
      </c>
      <c r="F9" s="9">
        <v>460.15</v>
      </c>
      <c r="G9" s="9">
        <v>378.94</v>
      </c>
      <c r="H9" s="9">
        <v>357.97800000000001</v>
      </c>
      <c r="I9" s="9">
        <v>380.41899999999998</v>
      </c>
      <c r="J9" s="9">
        <v>315.62799999999999</v>
      </c>
      <c r="K9" s="9">
        <v>437.88099999999997</v>
      </c>
      <c r="L9" s="9">
        <v>488.863</v>
      </c>
      <c r="M9" s="26">
        <f t="shared" si="0"/>
        <v>401.07663636363634</v>
      </c>
      <c r="N9" s="24">
        <f t="shared" si="1"/>
        <v>254.66499999999999</v>
      </c>
      <c r="O9" s="24">
        <f t="shared" si="2"/>
        <v>503.81599999999997</v>
      </c>
      <c r="P9" s="24">
        <f t="shared" si="3"/>
        <v>83.809969051745412</v>
      </c>
      <c r="Q9" s="32">
        <f t="shared" si="4"/>
        <v>25.269656457812516</v>
      </c>
      <c r="S9" s="7" t="s">
        <v>33</v>
      </c>
      <c r="T9" s="10">
        <f>1.674927351*10^(-27)</f>
        <v>1.6749273509999999E-27</v>
      </c>
      <c r="V9" s="7" t="s">
        <v>40</v>
      </c>
      <c r="W9" s="10">
        <f t="shared" si="5"/>
        <v>939.56537842430782</v>
      </c>
      <c r="Y9" s="8" t="s">
        <v>101</v>
      </c>
      <c r="Z9" s="13">
        <v>380</v>
      </c>
      <c r="AA9" s="18">
        <v>5</v>
      </c>
    </row>
    <row r="10" spans="1:30" ht="24">
      <c r="A10" s="5" t="s">
        <v>80</v>
      </c>
      <c r="B10" s="9">
        <v>7.2192100000000003</v>
      </c>
      <c r="C10" s="9">
        <v>7.3603100000000001</v>
      </c>
      <c r="D10" s="9">
        <v>3.7365400000000002</v>
      </c>
      <c r="E10" s="9">
        <v>3.7197300000000002</v>
      </c>
      <c r="F10" s="9">
        <v>3.8866399999999999</v>
      </c>
      <c r="G10" s="9">
        <v>2.6150799999999998</v>
      </c>
      <c r="H10" s="9">
        <v>2.6550699999999998</v>
      </c>
      <c r="I10" s="9">
        <v>2.5641500000000002</v>
      </c>
      <c r="J10" s="9">
        <v>9.6669800000000006</v>
      </c>
      <c r="K10" s="9">
        <v>33.554729999999999</v>
      </c>
      <c r="L10" s="9">
        <v>20.447220000000002</v>
      </c>
      <c r="M10" s="26">
        <f t="shared" si="0"/>
        <v>8.8568781818181819</v>
      </c>
      <c r="N10" s="24">
        <f t="shared" si="1"/>
        <v>2.5641500000000002</v>
      </c>
      <c r="O10" s="24">
        <f t="shared" si="2"/>
        <v>33.554729999999999</v>
      </c>
      <c r="P10" s="24">
        <f t="shared" si="3"/>
        <v>9.7171506400104946</v>
      </c>
      <c r="Q10" s="32">
        <f t="shared" si="4"/>
        <v>2.9298311549342406</v>
      </c>
      <c r="S10" s="7" t="s">
        <v>32</v>
      </c>
      <c r="T10" s="10">
        <f>6.64465675*10^(-27)</f>
        <v>6.6446567499999999E-27</v>
      </c>
      <c r="V10" s="7" t="s">
        <v>51</v>
      </c>
      <c r="W10" s="10">
        <f t="shared" si="5"/>
        <v>3727.3792383209948</v>
      </c>
      <c r="Y10" s="8" t="s">
        <v>20</v>
      </c>
      <c r="Z10" s="10">
        <f>($T$5/2)*(Z9*10^(-3))^(2)</f>
        <v>6.3927236038739991E-13</v>
      </c>
      <c r="AA10" s="10">
        <f>2*Z10*(AA9/Z9)</f>
        <v>1.6822956852299997E-14</v>
      </c>
    </row>
    <row r="11" spans="1:30" ht="24">
      <c r="A11" s="5" t="s">
        <v>81</v>
      </c>
      <c r="B11" s="9">
        <v>11.23725</v>
      </c>
      <c r="C11" s="9">
        <v>9.2921300000000002</v>
      </c>
      <c r="D11" s="9">
        <v>9.4299700000000009</v>
      </c>
      <c r="E11" s="9">
        <v>9.4864800000000002</v>
      </c>
      <c r="F11" s="9">
        <v>14.076359999999999</v>
      </c>
      <c r="G11" s="9">
        <v>13.638299999999999</v>
      </c>
      <c r="H11" s="9">
        <v>11.88435</v>
      </c>
      <c r="I11" s="9">
        <v>17.056159999999998</v>
      </c>
      <c r="J11" s="9">
        <v>7.8765700000000001</v>
      </c>
      <c r="K11" s="9">
        <v>31.243480000000002</v>
      </c>
      <c r="L11" s="9">
        <v>18.665649999999999</v>
      </c>
      <c r="M11" s="26">
        <f t="shared" si="0"/>
        <v>13.989699999999999</v>
      </c>
      <c r="N11" s="24">
        <f t="shared" si="1"/>
        <v>7.8765700000000001</v>
      </c>
      <c r="O11" s="24">
        <f t="shared" si="2"/>
        <v>31.243480000000002</v>
      </c>
      <c r="P11" s="24">
        <f t="shared" si="3"/>
        <v>6.6453572628279378</v>
      </c>
      <c r="Q11" s="32">
        <f t="shared" si="4"/>
        <v>2.0036506035148585</v>
      </c>
      <c r="S11" s="7"/>
      <c r="T11" s="10"/>
      <c r="W11" s="10"/>
      <c r="Y11" s="7" t="s">
        <v>102</v>
      </c>
      <c r="Z11" s="11">
        <f>$J$21</f>
        <v>1.219939576858145E-11</v>
      </c>
      <c r="AA11" s="3">
        <f>Z11*SQRT(('Std. Dev.'!$J$10/Averages!$J$10)^2 +('Std. Dev.'!$J$11/Averages!$J$11)^2)</f>
        <v>8.8963700509864256E-13</v>
      </c>
    </row>
    <row r="12" spans="1:30" ht="24">
      <c r="A12" s="5" t="s">
        <v>82</v>
      </c>
      <c r="B12" s="9">
        <v>30.155360000000002</v>
      </c>
      <c r="C12" s="9">
        <v>16.117290000000001</v>
      </c>
      <c r="D12" s="9">
        <v>65.325580000000002</v>
      </c>
      <c r="E12" s="9">
        <v>65.21508</v>
      </c>
      <c r="F12" s="9">
        <v>53.451329999999999</v>
      </c>
      <c r="G12" s="9">
        <v>8.1843900000000005</v>
      </c>
      <c r="H12" s="9">
        <v>7.4643100000000002</v>
      </c>
      <c r="I12" s="9">
        <v>7.8071200000000003</v>
      </c>
      <c r="J12" s="9">
        <v>17.528110000000002</v>
      </c>
      <c r="K12" s="9">
        <v>91.386259999999993</v>
      </c>
      <c r="L12" s="9">
        <v>64.232259999999997</v>
      </c>
      <c r="M12" s="26">
        <f t="shared" si="0"/>
        <v>38.806099090909093</v>
      </c>
      <c r="N12" s="24">
        <f t="shared" si="1"/>
        <v>7.4643100000000002</v>
      </c>
      <c r="O12" s="24">
        <f t="shared" si="2"/>
        <v>91.386259999999993</v>
      </c>
      <c r="P12" s="24">
        <f t="shared" si="3"/>
        <v>29.915993362760471</v>
      </c>
      <c r="Q12" s="32">
        <f t="shared" si="4"/>
        <v>9.0200113831853628</v>
      </c>
      <c r="S12" s="7"/>
      <c r="T12" s="10"/>
      <c r="W12" s="10"/>
      <c r="Y12" s="8" t="s">
        <v>22</v>
      </c>
      <c r="Z12" s="14">
        <f>(2*Z10)/$J$21</f>
        <v>0.10480393824648165</v>
      </c>
      <c r="AA12" s="14">
        <f>Z12*SQRT((AA11/Z11)^2+(AA10/Z10)^2)</f>
        <v>8.125198234010091E-3</v>
      </c>
    </row>
    <row r="13" spans="1:30" ht="24">
      <c r="A13" s="6" t="s">
        <v>83</v>
      </c>
      <c r="B13" s="9">
        <v>2.3817699999999999</v>
      </c>
      <c r="C13" s="9">
        <v>0.46834999999999999</v>
      </c>
      <c r="D13" s="9">
        <v>0.38988</v>
      </c>
      <c r="E13" s="9">
        <v>0.38707999999999998</v>
      </c>
      <c r="F13" s="9">
        <v>0.53608</v>
      </c>
      <c r="G13" s="9">
        <v>17.19753</v>
      </c>
      <c r="H13" s="9">
        <v>4.7578500000000004</v>
      </c>
      <c r="I13" s="9">
        <v>8.9570299999999996</v>
      </c>
      <c r="J13" s="9">
        <v>5.40184</v>
      </c>
      <c r="K13" s="9">
        <v>1.62036</v>
      </c>
      <c r="L13" s="9">
        <v>0.46511000000000002</v>
      </c>
      <c r="M13" s="26">
        <f t="shared" si="0"/>
        <v>3.8693527272727271</v>
      </c>
      <c r="N13" s="24">
        <f t="shared" si="1"/>
        <v>0.38707999999999998</v>
      </c>
      <c r="O13" s="24">
        <f t="shared" si="2"/>
        <v>17.19753</v>
      </c>
      <c r="P13" s="24">
        <f t="shared" si="3"/>
        <v>5.2195108365211604</v>
      </c>
      <c r="Q13" s="32">
        <f t="shared" si="4"/>
        <v>1.5737417303577028</v>
      </c>
      <c r="S13" s="7"/>
      <c r="T13" s="10"/>
      <c r="W13" s="10"/>
      <c r="Y13" s="8" t="s">
        <v>0</v>
      </c>
      <c r="Z13" s="16">
        <f>(Z9*10^(-3))*Z7</f>
        <v>179.90796</v>
      </c>
      <c r="AA13" s="19">
        <f>Z13*SQRT((AA7/Z7)^2+(AA9/Z9)^2)</f>
        <v>12.240642048793681</v>
      </c>
    </row>
    <row r="14" spans="1:30" ht="24">
      <c r="A14" s="6" t="s">
        <v>84</v>
      </c>
      <c r="B14" s="9">
        <v>6.4190899999999997</v>
      </c>
      <c r="C14" s="9">
        <v>0.80972</v>
      </c>
      <c r="D14" s="9">
        <v>2.7024400000000002</v>
      </c>
      <c r="E14" s="9">
        <v>2.66079</v>
      </c>
      <c r="F14" s="9">
        <v>2.0373999999999999</v>
      </c>
      <c r="G14" s="9">
        <v>10.303129999999999</v>
      </c>
      <c r="H14" s="9">
        <v>2.9914800000000001</v>
      </c>
      <c r="I14" s="9">
        <v>4.0979000000000001</v>
      </c>
      <c r="J14" s="9">
        <v>12.31639</v>
      </c>
      <c r="K14" s="9">
        <v>4.7420499999999999</v>
      </c>
      <c r="L14" s="9">
        <v>1.60103</v>
      </c>
      <c r="M14" s="26">
        <f t="shared" si="0"/>
        <v>4.6074018181818177</v>
      </c>
      <c r="N14" s="24">
        <f t="shared" si="1"/>
        <v>0.80972</v>
      </c>
      <c r="O14" s="24">
        <f t="shared" si="2"/>
        <v>12.31639</v>
      </c>
      <c r="P14" s="24">
        <f t="shared" si="3"/>
        <v>3.6813679941152815</v>
      </c>
      <c r="Q14" s="32">
        <f t="shared" si="4"/>
        <v>1.1099742137912432</v>
      </c>
      <c r="S14" s="7"/>
      <c r="T14" s="10"/>
      <c r="W14" s="10"/>
      <c r="Y14" s="22" t="s">
        <v>1</v>
      </c>
      <c r="Z14" s="11">
        <f>$J$24</f>
        <v>1664540.1273529856</v>
      </c>
      <c r="AA14" s="3">
        <f>Z14/2*('Std. Dev.'!$J$11/$J$11)</f>
        <v>44052.387301498828</v>
      </c>
    </row>
    <row r="15" spans="1:30" ht="24">
      <c r="A15" s="6" t="s">
        <v>85</v>
      </c>
      <c r="B15" s="9">
        <v>8.8008600000000001</v>
      </c>
      <c r="C15" s="9">
        <v>1.27807</v>
      </c>
      <c r="D15" s="9">
        <v>3.09232</v>
      </c>
      <c r="E15" s="9">
        <v>3.0478700000000001</v>
      </c>
      <c r="F15" s="9">
        <v>2.57348</v>
      </c>
      <c r="G15" s="9">
        <v>27.50066</v>
      </c>
      <c r="H15" s="9">
        <v>7.7493299999999996</v>
      </c>
      <c r="I15" s="9">
        <v>13.054930000000001</v>
      </c>
      <c r="J15" s="9">
        <v>17.718229999999998</v>
      </c>
      <c r="K15" s="9">
        <v>6.3624099999999997</v>
      </c>
      <c r="L15" s="9">
        <v>2.0661399999999999</v>
      </c>
      <c r="M15" s="26">
        <f t="shared" si="0"/>
        <v>8.476754545454547</v>
      </c>
      <c r="N15" s="24">
        <f t="shared" si="1"/>
        <v>1.27807</v>
      </c>
      <c r="O15" s="24">
        <f t="shared" si="2"/>
        <v>27.50066</v>
      </c>
      <c r="P15" s="24">
        <f t="shared" si="3"/>
        <v>8.1216303330148705</v>
      </c>
      <c r="Q15" s="32">
        <f t="shared" si="4"/>
        <v>2.4487636818708638</v>
      </c>
      <c r="S15" s="7"/>
      <c r="W15" s="10"/>
      <c r="Y15" s="22" t="s">
        <v>5</v>
      </c>
      <c r="Z15" s="21">
        <f>$AB$2*Z14*10^(-3)</f>
        <v>599.23444584707477</v>
      </c>
      <c r="AA15" s="21">
        <f>Z15*SQRT(($AC$2/$AB$2)^2+(AA14/Z14)^2)</f>
        <v>499.61379947267329</v>
      </c>
    </row>
    <row r="16" spans="1:30" ht="24">
      <c r="A16" s="5" t="s">
        <v>14</v>
      </c>
      <c r="B16" s="9">
        <f>-1*(((B$7*10^(3))*(B$4*10^(-9))) - ((B$8*10^(3))*(B$3*10^(-9))))*10^(3)</f>
        <v>3.8611953650000003E-2</v>
      </c>
      <c r="C16" s="9">
        <f t="shared" ref="C16:L16" si="6">-1*(((C$7*10^(3))*(C$4*10^(-9))) - ((C$8*10^(3))*(C$3*10^(-9))))*10^(3)</f>
        <v>1.6665960649999995E-2</v>
      </c>
      <c r="D16" s="9">
        <f t="shared" si="6"/>
        <v>0.44832596066000008</v>
      </c>
      <c r="E16" s="9">
        <f t="shared" si="6"/>
        <v>0.53454290460999998</v>
      </c>
      <c r="F16" s="9">
        <f t="shared" si="6"/>
        <v>-8.9563409240000016E-2</v>
      </c>
      <c r="G16" s="9">
        <f t="shared" si="6"/>
        <v>5.5459473600000002E-3</v>
      </c>
      <c r="H16" s="9">
        <f t="shared" si="6"/>
        <v>-4.0472183599999994E-3</v>
      </c>
      <c r="I16" s="9">
        <f t="shared" si="6"/>
        <v>-1.5255967800000005E-3</v>
      </c>
      <c r="J16" s="9">
        <f t="shared" si="6"/>
        <v>0.13848363608000003</v>
      </c>
      <c r="K16" s="9">
        <f t="shared" si="6"/>
        <v>-0.11980781202</v>
      </c>
      <c r="L16" s="9">
        <f t="shared" si="6"/>
        <v>1.1165931654000001</v>
      </c>
      <c r="M16" s="26">
        <f t="shared" si="0"/>
        <v>0.18943868109181816</v>
      </c>
      <c r="N16" s="24">
        <f t="shared" si="1"/>
        <v>-0.11980781202</v>
      </c>
      <c r="O16" s="24">
        <f t="shared" si="2"/>
        <v>1.1165931654000001</v>
      </c>
      <c r="P16" s="24">
        <f t="shared" si="3"/>
        <v>0.3717696549985664</v>
      </c>
      <c r="Q16" s="32">
        <f t="shared" si="4"/>
        <v>0.11209276855182906</v>
      </c>
      <c r="S16" s="7"/>
      <c r="W16" s="10"/>
      <c r="Y16" s="2" t="s">
        <v>25</v>
      </c>
      <c r="Z16" s="3">
        <v>1</v>
      </c>
      <c r="AA16" s="3">
        <v>2</v>
      </c>
      <c r="AB16" s="3">
        <v>4</v>
      </c>
      <c r="AC16" s="3">
        <v>8</v>
      </c>
      <c r="AD16" s="3">
        <v>16</v>
      </c>
    </row>
    <row r="17" spans="1:30" ht="24">
      <c r="A17" s="5" t="s">
        <v>16</v>
      </c>
      <c r="B17" s="9">
        <f>-1*(((B$8*10^(3))*(B$2*10^(-9))) - ((B$6*10^(3))*(B$4*10^(-9))))*10^(3)</f>
        <v>0.53890890057000007</v>
      </c>
      <c r="C17" s="9">
        <f t="shared" ref="C17:L17" si="7">-1*(((C$8*10^(3))*(C$2*10^(-9))) - ((C$6*10^(3))*(C$4*10^(-9))))*10^(3)</f>
        <v>-0.24392325105000001</v>
      </c>
      <c r="D17" s="9">
        <f t="shared" si="7"/>
        <v>2.8116183839000004</v>
      </c>
      <c r="E17" s="9">
        <f t="shared" si="7"/>
        <v>3.0910914785600001</v>
      </c>
      <c r="F17" s="9">
        <f t="shared" si="7"/>
        <v>-0.41423795128000002</v>
      </c>
      <c r="G17" s="9">
        <f t="shared" si="7"/>
        <v>0.11470018025999999</v>
      </c>
      <c r="H17" s="9">
        <f t="shared" si="7"/>
        <v>7.9677781869999992E-2</v>
      </c>
      <c r="I17" s="9">
        <f t="shared" si="7"/>
        <v>0.10542870988</v>
      </c>
      <c r="J17" s="9">
        <f t="shared" si="7"/>
        <v>0.55480491862000003</v>
      </c>
      <c r="K17" s="9">
        <f t="shared" si="7"/>
        <v>4.2710455979100006</v>
      </c>
      <c r="L17" s="9">
        <f t="shared" si="7"/>
        <v>4.3571582538000007</v>
      </c>
      <c r="M17" s="26">
        <f t="shared" si="0"/>
        <v>1.3878430002763638</v>
      </c>
      <c r="N17" s="24">
        <f t="shared" si="1"/>
        <v>-0.41423795128000002</v>
      </c>
      <c r="O17" s="24">
        <f t="shared" si="2"/>
        <v>4.3571582538000007</v>
      </c>
      <c r="P17" s="24">
        <f t="shared" si="3"/>
        <v>1.8536303761182216</v>
      </c>
      <c r="Q17" s="32">
        <f t="shared" si="4"/>
        <v>0.55889058705359074</v>
      </c>
      <c r="S17" s="7"/>
      <c r="W17" s="10"/>
      <c r="Y17" s="4" t="s">
        <v>24</v>
      </c>
      <c r="Z17" s="17">
        <f>($Z$9*10^(-3))*Z16*$J$27</f>
        <v>2.54991631062674</v>
      </c>
      <c r="AA17" s="17">
        <f>($Z$9*10^(-3))*AA16*$J$27</f>
        <v>5.0998326212534799</v>
      </c>
      <c r="AB17" s="17">
        <f>($Z$9*10^(-3))*AB16*$J$27</f>
        <v>10.19966524250696</v>
      </c>
      <c r="AC17" s="17">
        <f>($Z$9*10^(-3))*AC16*$J$27</f>
        <v>20.39933048501392</v>
      </c>
      <c r="AD17" s="17">
        <f>($Z$9*10^(-3))*AD16*$J$27</f>
        <v>40.798660970027839</v>
      </c>
    </row>
    <row r="18" spans="1:30" ht="24">
      <c r="A18" s="5" t="s">
        <v>15</v>
      </c>
      <c r="B18" s="9">
        <f>-1*(((B$6*10^(3))*(B$3*10^(-9))) - ((B$7*10^(3))*(B$2*10^(-9))))*10^(3)</f>
        <v>0.40688795156999996</v>
      </c>
      <c r="C18" s="9">
        <f t="shared" ref="C18:L18" si="8">-1*(((C$6*10^(3))*(C$3*10^(-9))) - ((C$7*10^(3))*(C$2*10^(-9))))*10^(3)</f>
        <v>2.0468872832000002</v>
      </c>
      <c r="D18" s="9">
        <f t="shared" si="8"/>
        <v>0.15344166659</v>
      </c>
      <c r="E18" s="9">
        <f t="shared" si="8"/>
        <v>-4.9851554730000004E-2</v>
      </c>
      <c r="F18" s="9">
        <f t="shared" si="8"/>
        <v>-2.1896149773100007</v>
      </c>
      <c r="G18" s="9">
        <f t="shared" si="8"/>
        <v>-0.21485569875000005</v>
      </c>
      <c r="H18" s="9">
        <f t="shared" si="8"/>
        <v>-0.34496708147999999</v>
      </c>
      <c r="I18" s="9">
        <f t="shared" si="8"/>
        <v>-0.48311560781999996</v>
      </c>
      <c r="J18" s="9">
        <f t="shared" si="8"/>
        <v>0.21226995072999999</v>
      </c>
      <c r="K18" s="9">
        <f t="shared" si="8"/>
        <v>-1.0958587964399999</v>
      </c>
      <c r="L18" s="9">
        <f t="shared" si="8"/>
        <v>7.6870558077000002</v>
      </c>
      <c r="M18" s="26">
        <f t="shared" si="0"/>
        <v>0.55711626756909094</v>
      </c>
      <c r="N18" s="24">
        <f t="shared" si="1"/>
        <v>-2.1896149773100007</v>
      </c>
      <c r="O18" s="24">
        <f t="shared" si="2"/>
        <v>7.6870558077000002</v>
      </c>
      <c r="P18" s="24">
        <f t="shared" si="3"/>
        <v>2.5787001126285358</v>
      </c>
      <c r="Q18" s="32">
        <f t="shared" si="4"/>
        <v>0.77750733822146034</v>
      </c>
      <c r="S18" s="7"/>
      <c r="W18" s="10"/>
    </row>
    <row r="19" spans="1:30" ht="24">
      <c r="A19" s="5" t="s">
        <v>17</v>
      </c>
      <c r="B19" s="9">
        <f>SQRT(B16^2 + B17^2 + B18^2)</f>
        <v>0.67636638829192763</v>
      </c>
      <c r="C19" s="9">
        <f t="shared" ref="C19:L19" si="9">SQRT(C16^2 + C17^2 + C18^2)</f>
        <v>2.0614373278790374</v>
      </c>
      <c r="D19" s="9">
        <f t="shared" si="9"/>
        <v>2.8512696204905068</v>
      </c>
      <c r="E19" s="9">
        <f t="shared" si="9"/>
        <v>3.1373663833228247</v>
      </c>
      <c r="F19" s="9">
        <f t="shared" si="9"/>
        <v>2.2302529976250716</v>
      </c>
      <c r="G19" s="9">
        <f t="shared" si="9"/>
        <v>0.24361826731414693</v>
      </c>
      <c r="H19" s="9">
        <f t="shared" si="9"/>
        <v>0.35407233188291592</v>
      </c>
      <c r="I19" s="9">
        <f t="shared" si="9"/>
        <v>0.49448784700110104</v>
      </c>
      <c r="J19" s="9">
        <f t="shared" si="9"/>
        <v>0.60995470911355321</v>
      </c>
      <c r="K19" s="9">
        <f t="shared" si="9"/>
        <v>4.4110192601010416</v>
      </c>
      <c r="L19" s="9">
        <f t="shared" si="9"/>
        <v>8.9063143519847632</v>
      </c>
      <c r="M19" s="26">
        <f t="shared" si="0"/>
        <v>2.3614690440915354</v>
      </c>
      <c r="N19" s="24">
        <f t="shared" si="1"/>
        <v>0.24361826731414693</v>
      </c>
      <c r="O19" s="24">
        <f t="shared" si="2"/>
        <v>8.9063143519847632</v>
      </c>
      <c r="P19" s="24">
        <f t="shared" si="3"/>
        <v>2.5669581190357458</v>
      </c>
      <c r="Q19" s="32">
        <f t="shared" si="4"/>
        <v>0.77396699394527468</v>
      </c>
      <c r="S19" s="7"/>
      <c r="W19" s="10"/>
    </row>
    <row r="20" spans="1:30" ht="24">
      <c r="A20" s="29" t="s">
        <v>18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5" t="s">
        <v>93</v>
      </c>
      <c r="N20" s="12" t="s">
        <v>96</v>
      </c>
      <c r="O20" s="12" t="s">
        <v>97</v>
      </c>
      <c r="P20" s="12" t="s">
        <v>94</v>
      </c>
      <c r="Q20" s="36" t="s">
        <v>95</v>
      </c>
      <c r="S20" s="7"/>
      <c r="W20" s="10"/>
    </row>
    <row r="21" spans="1:30" ht="24">
      <c r="A21" s="5" t="s">
        <v>21</v>
      </c>
      <c r="B21" s="11">
        <f>(B10*10^(6))*($T$3*$W$5*B11)</f>
        <v>1.2997507653055933E-11</v>
      </c>
      <c r="C21" s="11">
        <f t="shared" ref="C21:L21" si="10">(C10*10^(6))*($T$3*$W$5*C11)</f>
        <v>1.0957759063439341E-11</v>
      </c>
      <c r="D21" s="11">
        <f t="shared" si="10"/>
        <v>5.6453426962202081E-12</v>
      </c>
      <c r="E21" s="11">
        <f t="shared" si="10"/>
        <v>5.6536234088505852E-12</v>
      </c>
      <c r="F21" s="11">
        <f t="shared" si="10"/>
        <v>8.7654667154954641E-12</v>
      </c>
      <c r="G21" s="11">
        <f t="shared" si="10"/>
        <v>5.7142019136544088E-12</v>
      </c>
      <c r="H21" s="11">
        <f t="shared" si="10"/>
        <v>5.0554727383700777E-12</v>
      </c>
      <c r="I21" s="11">
        <f t="shared" si="10"/>
        <v>7.0070473530596427E-12</v>
      </c>
      <c r="J21" s="11">
        <f>(J10*10^(6))*($T$3*$W$5*J11)</f>
        <v>1.219939576858145E-11</v>
      </c>
      <c r="K21" s="11">
        <f t="shared" si="10"/>
        <v>1.6796682511359766E-10</v>
      </c>
      <c r="L21" s="11">
        <f t="shared" si="10"/>
        <v>6.1148773644961137E-11</v>
      </c>
      <c r="M21" s="27">
        <f t="shared" ref="M21" si="11">AVERAGE(B21:L21)</f>
        <v>2.7555583279025988E-11</v>
      </c>
      <c r="N21" s="11">
        <f>MIN(B21:L21)</f>
        <v>5.0554727383700777E-12</v>
      </c>
      <c r="O21" s="11">
        <f>MAX(B21:L21)</f>
        <v>1.6796682511359766E-10</v>
      </c>
      <c r="P21" s="11">
        <f t="shared" ref="P21" si="12">STDEV(B21:L21)</f>
        <v>4.9280242809852084E-11</v>
      </c>
      <c r="Q21" s="33">
        <f t="shared" ref="Q21" si="13">P21/SQRT(COUNT(B21:L21))</f>
        <v>1.4858552270717169E-11</v>
      </c>
    </row>
    <row r="22" spans="1:30" ht="24">
      <c r="A22" s="6" t="s">
        <v>53</v>
      </c>
      <c r="B22" s="9">
        <f>$T$2*(B5*10^(-9))/$T$7</f>
        <v>650.41166848589512</v>
      </c>
      <c r="C22" s="9">
        <f t="shared" ref="C22:L22" si="14">$T$2*(C5*10^(-9))/$T$7</f>
        <v>1355.7038001728863</v>
      </c>
      <c r="D22" s="9">
        <f t="shared" si="14"/>
        <v>1064.3869113825788</v>
      </c>
      <c r="E22" s="9">
        <f t="shared" si="14"/>
        <v>1069.4276897543491</v>
      </c>
      <c r="F22" s="9">
        <f t="shared" si="14"/>
        <v>1127.9911222193971</v>
      </c>
      <c r="G22" s="9">
        <f t="shared" si="14"/>
        <v>161.13606116820921</v>
      </c>
      <c r="H22" s="9">
        <f t="shared" si="14"/>
        <v>287.80628389496468</v>
      </c>
      <c r="I22" s="9">
        <f t="shared" si="14"/>
        <v>246.72024664285402</v>
      </c>
      <c r="J22" s="9">
        <f t="shared" si="14"/>
        <v>551.24235665271851</v>
      </c>
      <c r="K22" s="9">
        <f t="shared" si="14"/>
        <v>2852.4016538679557</v>
      </c>
      <c r="L22" s="9">
        <f t="shared" si="14"/>
        <v>3196.8032505496681</v>
      </c>
      <c r="M22" s="26">
        <f t="shared" ref="M22:M27" si="15">AVERAGE(B22:L22)</f>
        <v>1142.184640435589</v>
      </c>
      <c r="N22" s="24">
        <f>MIN(B22:L22)</f>
        <v>161.13606116820921</v>
      </c>
      <c r="O22" s="24">
        <f>MAX(B22:L22)</f>
        <v>3196.8032505496681</v>
      </c>
      <c r="P22" s="24">
        <f t="shared" ref="P22:P27" si="16">STDEV(B22:L22)</f>
        <v>1014.3355669784081</v>
      </c>
      <c r="Q22" s="32">
        <f t="shared" ref="Q22:Q27" si="17">P22/SQRT(COUNT(B22:L22))</f>
        <v>305.83368065270804</v>
      </c>
    </row>
    <row r="23" spans="1:30" ht="24">
      <c r="A23" s="6" t="s">
        <v>54</v>
      </c>
      <c r="B23" s="11">
        <f>SQRT((B10*10^(6))*$T$2^(2)/($T$5*$T$7))</f>
        <v>151578.06847472014</v>
      </c>
      <c r="C23" s="11">
        <f t="shared" ref="C23:L23" si="18">SQRT((C10*10^(6))*$T$2^(2)/($T$5*$T$7))</f>
        <v>153052.20266400135</v>
      </c>
      <c r="D23" s="11">
        <f t="shared" si="18"/>
        <v>109050.17049898175</v>
      </c>
      <c r="E23" s="11">
        <f t="shared" si="18"/>
        <v>108804.59574954183</v>
      </c>
      <c r="F23" s="11">
        <f t="shared" si="18"/>
        <v>111218.92397351556</v>
      </c>
      <c r="G23" s="11">
        <f t="shared" si="18"/>
        <v>91229.232385442971</v>
      </c>
      <c r="H23" s="11">
        <f t="shared" si="18"/>
        <v>91924.128006521656</v>
      </c>
      <c r="I23" s="11">
        <f t="shared" si="18"/>
        <v>90336.496772082028</v>
      </c>
      <c r="J23" s="11">
        <f t="shared" si="18"/>
        <v>175402.9693238308</v>
      </c>
      <c r="K23" s="11">
        <f t="shared" si="18"/>
        <v>326789.7343698155</v>
      </c>
      <c r="L23" s="11">
        <f t="shared" si="18"/>
        <v>255098.94699732328</v>
      </c>
      <c r="M23" s="27">
        <f t="shared" si="15"/>
        <v>151316.8608377979</v>
      </c>
      <c r="N23" s="11">
        <f>MIN(B23:L23)</f>
        <v>90336.496772082028</v>
      </c>
      <c r="O23" s="11">
        <f t="shared" ref="O23:O24" si="19">MAX(B23:L23)</f>
        <v>326789.7343698155</v>
      </c>
      <c r="P23" s="11">
        <f t="shared" si="16"/>
        <v>76290.829042275655</v>
      </c>
      <c r="Q23" s="33">
        <f t="shared" si="17"/>
        <v>23002.550443488832</v>
      </c>
    </row>
    <row r="24" spans="1:30" ht="24">
      <c r="A24" s="5" t="s">
        <v>57</v>
      </c>
      <c r="B24" s="11">
        <f>SQRT(2*($T$3*$W$5*B11)/$T$7)</f>
        <v>1988180.0983024777</v>
      </c>
      <c r="C24" s="11">
        <f t="shared" ref="C24:L24" si="20">SQRT(2*($T$3*$W$5*C11)/$T$7)</f>
        <v>1807937.1934017888</v>
      </c>
      <c r="D24" s="11">
        <f t="shared" si="20"/>
        <v>1821297.3524941178</v>
      </c>
      <c r="E24" s="11">
        <f t="shared" si="20"/>
        <v>1826746.3508424561</v>
      </c>
      <c r="F24" s="11">
        <f t="shared" si="20"/>
        <v>2225209.3872594503</v>
      </c>
      <c r="G24" s="11">
        <f t="shared" si="20"/>
        <v>2190311.1823738744</v>
      </c>
      <c r="H24" s="11">
        <f t="shared" si="20"/>
        <v>2044623.8267993301</v>
      </c>
      <c r="I24" s="11">
        <f t="shared" si="20"/>
        <v>2449437.3250502991</v>
      </c>
      <c r="J24" s="11">
        <f t="shared" si="20"/>
        <v>1664540.1273529856</v>
      </c>
      <c r="K24" s="11">
        <f t="shared" si="20"/>
        <v>3315166.9280547779</v>
      </c>
      <c r="L24" s="11">
        <f t="shared" si="20"/>
        <v>2562401.9714350002</v>
      </c>
      <c r="M24" s="27">
        <f t="shared" si="15"/>
        <v>2172350.158487869</v>
      </c>
      <c r="N24" s="11">
        <f>MIN(B24:L24)</f>
        <v>1664540.1273529856</v>
      </c>
      <c r="O24" s="11">
        <f t="shared" si="19"/>
        <v>3315166.9280547779</v>
      </c>
      <c r="P24" s="11">
        <f t="shared" si="16"/>
        <v>471343.30461777752</v>
      </c>
      <c r="Q24" s="33">
        <f t="shared" si="17"/>
        <v>142115.35353303252</v>
      </c>
    </row>
    <row r="25" spans="1:30" ht="24">
      <c r="A25" s="5" t="s">
        <v>7</v>
      </c>
      <c r="B25" s="9">
        <f>$T$6/B23</f>
        <v>1977.8089338861155</v>
      </c>
      <c r="C25" s="9">
        <f t="shared" ref="C25:L25" si="21">$T$6/C23</f>
        <v>1958.7595133710256</v>
      </c>
      <c r="D25" s="9">
        <f t="shared" si="21"/>
        <v>2749.1241566954009</v>
      </c>
      <c r="E25" s="9">
        <f t="shared" si="21"/>
        <v>2755.3290000782463</v>
      </c>
      <c r="F25" s="9">
        <f t="shared" si="21"/>
        <v>2695.5166198325396</v>
      </c>
      <c r="G25" s="9">
        <f t="shared" si="21"/>
        <v>3286.1446947605732</v>
      </c>
      <c r="H25" s="9">
        <f t="shared" si="21"/>
        <v>3261.3032564120031</v>
      </c>
      <c r="I25" s="9">
        <f t="shared" si="21"/>
        <v>3318.619480749579</v>
      </c>
      <c r="J25" s="9">
        <f t="shared" si="21"/>
        <v>1709.1640989099956</v>
      </c>
      <c r="K25" s="9">
        <f t="shared" si="21"/>
        <v>917.3864001224689</v>
      </c>
      <c r="L25" s="9">
        <f t="shared" si="21"/>
        <v>1175.2006879653979</v>
      </c>
      <c r="M25" s="26">
        <f t="shared" si="15"/>
        <v>2345.8506220712129</v>
      </c>
      <c r="N25" s="24">
        <f t="shared" ref="N25:N27" si="22">MIN(B25:L25)</f>
        <v>917.3864001224689</v>
      </c>
      <c r="O25" s="24">
        <f t="shared" ref="O25:O27" si="23">MAX(B25:L25)</f>
        <v>3318.619480749579</v>
      </c>
      <c r="P25" s="24">
        <f t="shared" si="16"/>
        <v>849.8617156988679</v>
      </c>
      <c r="Q25" s="32">
        <f t="shared" si="17"/>
        <v>256.24294860553073</v>
      </c>
    </row>
    <row r="26" spans="1:30" ht="24">
      <c r="A26" s="6" t="s">
        <v>9</v>
      </c>
      <c r="B26" s="9">
        <f>B24/B22</f>
        <v>3056.8026292191184</v>
      </c>
      <c r="C26" s="9">
        <f t="shared" ref="C26:L26" si="24">C24/C22</f>
        <v>1333.5783178974873</v>
      </c>
      <c r="D26" s="9">
        <f t="shared" si="24"/>
        <v>1711.1234016663686</v>
      </c>
      <c r="E26" s="9">
        <f t="shared" si="24"/>
        <v>1708.1532190942853</v>
      </c>
      <c r="F26" s="9">
        <f t="shared" si="24"/>
        <v>1972.7188835327036</v>
      </c>
      <c r="G26" s="9">
        <f t="shared" si="24"/>
        <v>13592.929891015632</v>
      </c>
      <c r="H26" s="9">
        <f t="shared" si="24"/>
        <v>7104.1667302355308</v>
      </c>
      <c r="I26" s="9">
        <f t="shared" si="24"/>
        <v>9927.9947972654318</v>
      </c>
      <c r="J26" s="9">
        <f t="shared" si="24"/>
        <v>3019.6157956012116</v>
      </c>
      <c r="K26" s="9">
        <f t="shared" si="24"/>
        <v>1162.2370655827158</v>
      </c>
      <c r="L26" s="9">
        <f t="shared" si="24"/>
        <v>801.55135321337434</v>
      </c>
      <c r="M26" s="26">
        <f t="shared" si="15"/>
        <v>4126.442916756715</v>
      </c>
      <c r="N26" s="24">
        <f t="shared" si="22"/>
        <v>801.55135321337434</v>
      </c>
      <c r="O26" s="24">
        <f t="shared" si="23"/>
        <v>13592.929891015632</v>
      </c>
      <c r="P26" s="24">
        <f t="shared" si="16"/>
        <v>4224.5751162022889</v>
      </c>
      <c r="Q26" s="32">
        <f t="shared" si="17"/>
        <v>1273.7573235559141</v>
      </c>
    </row>
    <row r="27" spans="1:30" ht="24">
      <c r="A27" s="6" t="s">
        <v>10</v>
      </c>
      <c r="B27" s="9">
        <f>B24/B23/SQRT(2)</f>
        <v>9.2747957793398328</v>
      </c>
      <c r="C27" s="9">
        <f t="shared" ref="C27:L27" si="25">C24/C23/SQRT(2)</f>
        <v>8.3527360414425882</v>
      </c>
      <c r="D27" s="9">
        <f t="shared" si="25"/>
        <v>11.809717514542736</v>
      </c>
      <c r="E27" s="9">
        <f t="shared" si="25"/>
        <v>11.871784673157247</v>
      </c>
      <c r="F27" s="9">
        <f t="shared" si="25"/>
        <v>14.147418362596332</v>
      </c>
      <c r="G27" s="9">
        <f t="shared" si="25"/>
        <v>16.976837900177525</v>
      </c>
      <c r="H27" s="9">
        <f t="shared" si="25"/>
        <v>15.727833423699421</v>
      </c>
      <c r="I27" s="9">
        <f t="shared" si="25"/>
        <v>19.172912438749481</v>
      </c>
      <c r="J27" s="9">
        <f t="shared" si="25"/>
        <v>6.7103060805966841</v>
      </c>
      <c r="K27" s="9">
        <f t="shared" si="25"/>
        <v>7.1733496161176618</v>
      </c>
      <c r="L27" s="9">
        <f t="shared" si="25"/>
        <v>7.1027020356398349</v>
      </c>
      <c r="M27" s="26">
        <f t="shared" si="15"/>
        <v>11.665490351459939</v>
      </c>
      <c r="N27" s="24">
        <f t="shared" si="22"/>
        <v>6.7103060805966841</v>
      </c>
      <c r="O27" s="24">
        <f t="shared" si="23"/>
        <v>19.172912438749481</v>
      </c>
      <c r="P27" s="24">
        <f t="shared" si="16"/>
        <v>4.3536161326623883</v>
      </c>
      <c r="Q27" s="32">
        <f t="shared" si="17"/>
        <v>1.31266465393448</v>
      </c>
    </row>
    <row r="28" spans="1:30">
      <c r="A28" s="31" t="s">
        <v>19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5" t="s">
        <v>93</v>
      </c>
      <c r="N28" s="12" t="s">
        <v>96</v>
      </c>
      <c r="O28" s="12" t="s">
        <v>97</v>
      </c>
      <c r="P28" s="12" t="s">
        <v>94</v>
      </c>
      <c r="Q28" s="36" t="s">
        <v>95</v>
      </c>
    </row>
    <row r="29" spans="1:30" ht="24">
      <c r="A29" s="5" t="s">
        <v>13</v>
      </c>
      <c r="B29" s="11">
        <f>(B10*10^(6))*($T$3*$W$5*B12)</f>
        <v>3.4879042682209329E-11</v>
      </c>
      <c r="C29" s="11">
        <f t="shared" ref="C29:L29" si="26">(C$10*10^(6))*($T$3*$W$5*C$12)</f>
        <v>1.9006339835493074E-11</v>
      </c>
      <c r="D29" s="11">
        <f t="shared" si="26"/>
        <v>3.9107789943059089E-11</v>
      </c>
      <c r="E29" s="11">
        <f t="shared" si="26"/>
        <v>3.8865996966004628E-11</v>
      </c>
      <c r="F29" s="11">
        <f t="shared" si="26"/>
        <v>3.3284588772521034E-11</v>
      </c>
      <c r="G29" s="11">
        <f t="shared" si="26"/>
        <v>3.4291119127819462E-12</v>
      </c>
      <c r="H29" s="11">
        <f t="shared" si="26"/>
        <v>3.1752359797332759E-12</v>
      </c>
      <c r="I29" s="11">
        <f t="shared" si="26"/>
        <v>3.2073373802203429E-12</v>
      </c>
      <c r="J29" s="11">
        <f t="shared" si="26"/>
        <v>2.7147902064633488E-11</v>
      </c>
      <c r="K29" s="11">
        <f t="shared" si="26"/>
        <v>4.9129802285807354E-10</v>
      </c>
      <c r="L29" s="11">
        <f t="shared" si="26"/>
        <v>2.1042524248790113E-10</v>
      </c>
      <c r="M29" s="27">
        <f t="shared" ref="M29:M35" si="27">AVERAGE(B29:L29)</f>
        <v>8.2166055534784625E-11</v>
      </c>
      <c r="N29" s="11">
        <f>MIN(B29:L29)</f>
        <v>3.1752359797332759E-12</v>
      </c>
      <c r="O29" s="11">
        <f>MAX(B29:L29)</f>
        <v>4.9129802285807354E-10</v>
      </c>
      <c r="P29" s="11">
        <f t="shared" ref="P29:P35" si="28">STDEV(B29:L29)</f>
        <v>1.4760875188988016E-10</v>
      </c>
      <c r="Q29" s="33">
        <f t="shared" ref="Q29:Q35" si="29">P29/SQRT(COUNT(B29:L29))</f>
        <v>4.4505713253763273E-11</v>
      </c>
    </row>
    <row r="30" spans="1:30" ht="24">
      <c r="A30" s="6" t="s">
        <v>55</v>
      </c>
      <c r="B30" s="9">
        <f>$T$2*(B5*10^(-9))/$T$8</f>
        <v>0.35422526591736458</v>
      </c>
      <c r="C30" s="9">
        <f t="shared" ref="C30:L30" si="30">$T$2*(C$5*10^(-9))/$T$8</f>
        <v>0.73833936626528496</v>
      </c>
      <c r="D30" s="9">
        <f t="shared" si="30"/>
        <v>0.57968322985526621</v>
      </c>
      <c r="E30" s="9">
        <f t="shared" si="30"/>
        <v>0.58242852356029384</v>
      </c>
      <c r="F30" s="9">
        <f t="shared" si="30"/>
        <v>0.61432316574323165</v>
      </c>
      <c r="G30" s="9">
        <f t="shared" si="30"/>
        <v>8.77574417584783E-2</v>
      </c>
      <c r="H30" s="9">
        <f t="shared" si="30"/>
        <v>0.15674420122675464</v>
      </c>
      <c r="I30" s="9">
        <f t="shared" si="30"/>
        <v>0.13436804597572805</v>
      </c>
      <c r="J30" s="9">
        <f t="shared" si="30"/>
        <v>0.30021597064022915</v>
      </c>
      <c r="K30" s="9">
        <f t="shared" si="30"/>
        <v>1.5534664940692382</v>
      </c>
      <c r="L30" s="9">
        <f t="shared" si="30"/>
        <v>1.741033466000939</v>
      </c>
      <c r="M30" s="26">
        <f t="shared" si="27"/>
        <v>0.6220531973648008</v>
      </c>
      <c r="N30" s="24">
        <f>MIN(B30:L30)</f>
        <v>8.77574417584783E-2</v>
      </c>
      <c r="O30" s="24">
        <f>MAX(B30:L30)</f>
        <v>1.741033466000939</v>
      </c>
      <c r="P30" s="24">
        <f t="shared" si="28"/>
        <v>0.55242441572242384</v>
      </c>
      <c r="Q30" s="32">
        <f t="shared" si="29"/>
        <v>0.16656222836205348</v>
      </c>
    </row>
    <row r="31" spans="1:30" ht="24">
      <c r="A31" s="6" t="s">
        <v>56</v>
      </c>
      <c r="B31" s="9">
        <f>SQRT((B10*10^(6))*$T$2^(2)/($T$5*$T$8))</f>
        <v>3537.3821025042625</v>
      </c>
      <c r="C31" s="9">
        <f t="shared" ref="C31:L31" si="31">SQRT((C$10*10^(6))*$T$2^(2)/($T$5*$T$8))</f>
        <v>3571.7840179681916</v>
      </c>
      <c r="D31" s="9">
        <f t="shared" si="31"/>
        <v>2544.9072235834124</v>
      </c>
      <c r="E31" s="9">
        <f t="shared" si="31"/>
        <v>2539.1762380111782</v>
      </c>
      <c r="F31" s="9">
        <f t="shared" si="31"/>
        <v>2595.51949093025</v>
      </c>
      <c r="G31" s="9">
        <f t="shared" si="31"/>
        <v>2129.0194360755395</v>
      </c>
      <c r="H31" s="9">
        <f t="shared" si="31"/>
        <v>2145.2362368162244</v>
      </c>
      <c r="I31" s="9">
        <f t="shared" si="31"/>
        <v>2108.1856372763559</v>
      </c>
      <c r="J31" s="9">
        <f t="shared" si="31"/>
        <v>4093.384555270959</v>
      </c>
      <c r="K31" s="9">
        <f t="shared" si="31"/>
        <v>7626.3022037036935</v>
      </c>
      <c r="L31" s="9">
        <f t="shared" si="31"/>
        <v>5953.2520671122829</v>
      </c>
      <c r="M31" s="27">
        <f t="shared" si="27"/>
        <v>3531.2862917502139</v>
      </c>
      <c r="N31" s="11">
        <f>MIN(B31:L31)</f>
        <v>2108.1856372763559</v>
      </c>
      <c r="O31" s="11">
        <f t="shared" ref="O31:O35" si="32">MAX(B31:L31)</f>
        <v>7626.3022037036935</v>
      </c>
      <c r="P31" s="11">
        <f t="shared" si="28"/>
        <v>1780.4014522349348</v>
      </c>
      <c r="Q31" s="33">
        <f t="shared" si="29"/>
        <v>536.81123575155823</v>
      </c>
    </row>
    <row r="32" spans="1:30" ht="24">
      <c r="A32" s="5" t="s">
        <v>6</v>
      </c>
      <c r="B32" s="9">
        <f>SQRT(2*($T$3*$W$5*B12)/$T$8)</f>
        <v>76006.995408686314</v>
      </c>
      <c r="C32" s="9">
        <f t="shared" ref="C32:L32" si="33">SQRT(2*($T$3*$W$5*C$12)/$T$8)</f>
        <v>55567.0468350226</v>
      </c>
      <c r="D32" s="9">
        <f t="shared" si="33"/>
        <v>111869.82106329004</v>
      </c>
      <c r="E32" s="9">
        <f t="shared" si="33"/>
        <v>111775.1655917602</v>
      </c>
      <c r="F32" s="9">
        <f t="shared" si="33"/>
        <v>101193.02164930908</v>
      </c>
      <c r="G32" s="9">
        <f t="shared" si="33"/>
        <v>39597.198826852757</v>
      </c>
      <c r="H32" s="9">
        <f t="shared" si="33"/>
        <v>37815.177228158609</v>
      </c>
      <c r="I32" s="9">
        <f t="shared" si="33"/>
        <v>38673.789908650542</v>
      </c>
      <c r="J32" s="9">
        <f t="shared" si="33"/>
        <v>57948.053348132446</v>
      </c>
      <c r="K32" s="9">
        <f t="shared" si="33"/>
        <v>132315.81564690315</v>
      </c>
      <c r="L32" s="9">
        <f t="shared" si="33"/>
        <v>110929.71767532847</v>
      </c>
      <c r="M32" s="27">
        <f t="shared" si="27"/>
        <v>79426.527562008574</v>
      </c>
      <c r="N32" s="11">
        <f>MIN(B32:L32)</f>
        <v>37815.177228158609</v>
      </c>
      <c r="O32" s="11">
        <f t="shared" si="32"/>
        <v>132315.81564690315</v>
      </c>
      <c r="P32" s="11">
        <f t="shared" si="28"/>
        <v>35190.1522126485</v>
      </c>
      <c r="Q32" s="33">
        <f t="shared" si="29"/>
        <v>10610.230109531813</v>
      </c>
    </row>
    <row r="33" spans="1:17" ht="24">
      <c r="A33" s="5" t="s">
        <v>8</v>
      </c>
      <c r="B33" s="9">
        <f>$T$6/B31</f>
        <v>84749.809130957918</v>
      </c>
      <c r="C33" s="9">
        <f t="shared" ref="C33:L33" si="34">$T$6/C$31</f>
        <v>83933.534755284491</v>
      </c>
      <c r="D33" s="9">
        <f t="shared" si="34"/>
        <v>117800.93798011761</v>
      </c>
      <c r="E33" s="9">
        <f t="shared" si="34"/>
        <v>118066.81770357017</v>
      </c>
      <c r="F33" s="9">
        <f t="shared" si="34"/>
        <v>115503.83615229775</v>
      </c>
      <c r="G33" s="9">
        <f t="shared" si="34"/>
        <v>140812.45710143249</v>
      </c>
      <c r="H33" s="9">
        <f t="shared" si="34"/>
        <v>139747.99272243748</v>
      </c>
      <c r="I33" s="9">
        <f t="shared" si="34"/>
        <v>142204.01311424168</v>
      </c>
      <c r="J33" s="9">
        <f t="shared" si="34"/>
        <v>73238.283372244347</v>
      </c>
      <c r="K33" s="9">
        <f t="shared" si="34"/>
        <v>39310.33022333018</v>
      </c>
      <c r="L33" s="9">
        <f t="shared" si="34"/>
        <v>50357.763224348375</v>
      </c>
      <c r="M33" s="26">
        <f t="shared" si="27"/>
        <v>100520.52504366022</v>
      </c>
      <c r="N33" s="24">
        <f t="shared" ref="N33:N35" si="35">MIN(B33:L33)</f>
        <v>39310.33022333018</v>
      </c>
      <c r="O33" s="24">
        <f t="shared" si="32"/>
        <v>142204.01311424168</v>
      </c>
      <c r="P33" s="24">
        <f t="shared" si="28"/>
        <v>36416.873722815675</v>
      </c>
      <c r="Q33" s="32">
        <f t="shared" si="29"/>
        <v>10980.100561484782</v>
      </c>
    </row>
    <row r="34" spans="1:17" ht="24">
      <c r="A34" s="6" t="s">
        <v>12</v>
      </c>
      <c r="B34" s="9">
        <f>B32/B30</f>
        <v>214572.48457939643</v>
      </c>
      <c r="C34" s="9">
        <f t="shared" ref="C34:L34" si="36">C$32/C$30</f>
        <v>75259.493633795209</v>
      </c>
      <c r="D34" s="9">
        <f t="shared" si="36"/>
        <v>192984.40131038707</v>
      </c>
      <c r="E34" s="9">
        <f t="shared" si="36"/>
        <v>191912.24514296831</v>
      </c>
      <c r="F34" s="9">
        <f t="shared" si="36"/>
        <v>164722.78320626554</v>
      </c>
      <c r="G34" s="9">
        <f t="shared" si="36"/>
        <v>451211.86344321904</v>
      </c>
      <c r="H34" s="9">
        <f t="shared" si="36"/>
        <v>241254.07467835527</v>
      </c>
      <c r="I34" s="9">
        <f t="shared" si="36"/>
        <v>287819.84308707213</v>
      </c>
      <c r="J34" s="9">
        <f t="shared" si="36"/>
        <v>193021.22143786898</v>
      </c>
      <c r="K34" s="9">
        <f t="shared" si="36"/>
        <v>85174.553910273025</v>
      </c>
      <c r="L34" s="9">
        <f t="shared" si="36"/>
        <v>63714.868118031132</v>
      </c>
      <c r="M34" s="26">
        <f t="shared" si="27"/>
        <v>196513.43932251196</v>
      </c>
      <c r="N34" s="24">
        <f t="shared" si="35"/>
        <v>63714.868118031132</v>
      </c>
      <c r="O34" s="24">
        <f t="shared" si="32"/>
        <v>451211.86344321904</v>
      </c>
      <c r="P34" s="24">
        <f t="shared" si="28"/>
        <v>110148.44254401476</v>
      </c>
      <c r="Q34" s="32">
        <f t="shared" si="29"/>
        <v>33211.005014592432</v>
      </c>
    </row>
    <row r="35" spans="1:17" ht="24">
      <c r="A35" s="6" t="s">
        <v>11</v>
      </c>
      <c r="B35" s="9">
        <f>B32/B31/SQRT(2)</f>
        <v>15.193456718472248</v>
      </c>
      <c r="C35" s="9">
        <f t="shared" ref="C35:L35" si="37">C$32/C$31/SQRT(2)</f>
        <v>11.000619138753555</v>
      </c>
      <c r="D35" s="9">
        <f t="shared" si="37"/>
        <v>31.083219203800311</v>
      </c>
      <c r="E35" s="9">
        <f t="shared" si="37"/>
        <v>31.12701527960461</v>
      </c>
      <c r="F35" s="9">
        <f t="shared" si="37"/>
        <v>27.568381615711957</v>
      </c>
      <c r="G35" s="9">
        <f t="shared" si="37"/>
        <v>13.151334991131636</v>
      </c>
      <c r="H35" s="9">
        <f t="shared" si="37"/>
        <v>12.464533178633202</v>
      </c>
      <c r="I35" s="9">
        <f t="shared" si="37"/>
        <v>12.971580213363294</v>
      </c>
      <c r="J35" s="9">
        <f t="shared" si="37"/>
        <v>10.010166630022848</v>
      </c>
      <c r="K35" s="9">
        <f t="shared" si="37"/>
        <v>12.268253735960851</v>
      </c>
      <c r="L35" s="9">
        <f t="shared" si="37"/>
        <v>13.175849891634456</v>
      </c>
      <c r="M35" s="26">
        <f t="shared" si="27"/>
        <v>17.274037327008088</v>
      </c>
      <c r="N35" s="24">
        <f t="shared" si="35"/>
        <v>10.010166630022848</v>
      </c>
      <c r="O35" s="24">
        <f t="shared" si="32"/>
        <v>31.12701527960461</v>
      </c>
      <c r="P35" s="24">
        <f t="shared" si="28"/>
        <v>8.2795687512440104</v>
      </c>
      <c r="Q35" s="32">
        <f t="shared" si="29"/>
        <v>2.4963839067116167</v>
      </c>
    </row>
    <row r="36" spans="1:17" ht="19">
      <c r="A36" s="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6"/>
      <c r="N36" s="24"/>
      <c r="O36" s="24"/>
      <c r="P36" s="24"/>
      <c r="Q36" s="32"/>
    </row>
    <row r="37" spans="1:17" ht="19">
      <c r="A37" s="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6"/>
      <c r="N37" s="24"/>
      <c r="O37" s="24"/>
      <c r="P37" s="24"/>
      <c r="Q37" s="32"/>
    </row>
    <row r="39" spans="1:17">
      <c r="A39" s="1" t="s">
        <v>90</v>
      </c>
      <c r="B39" s="12">
        <v>38545</v>
      </c>
      <c r="C39" s="12">
        <v>38553</v>
      </c>
      <c r="D39" s="12">
        <v>38555</v>
      </c>
      <c r="E39" s="12">
        <v>38555</v>
      </c>
      <c r="F39" s="12">
        <v>38555</v>
      </c>
      <c r="G39" s="12">
        <v>38599</v>
      </c>
      <c r="H39" s="12">
        <v>38599</v>
      </c>
      <c r="I39" s="12">
        <v>38599</v>
      </c>
      <c r="J39" s="12">
        <v>38620</v>
      </c>
      <c r="K39" s="12">
        <v>39378</v>
      </c>
      <c r="L39" s="23">
        <v>39378</v>
      </c>
      <c r="M39" s="35" t="s">
        <v>93</v>
      </c>
      <c r="N39" s="12" t="s">
        <v>96</v>
      </c>
      <c r="O39" s="12" t="s">
        <v>97</v>
      </c>
      <c r="P39" s="12" t="s">
        <v>94</v>
      </c>
      <c r="Q39" s="36" t="s">
        <v>95</v>
      </c>
    </row>
    <row r="40" spans="1:17" ht="24">
      <c r="A40" s="5" t="s">
        <v>58</v>
      </c>
      <c r="B40" s="9">
        <v>-6.2027200000000002</v>
      </c>
      <c r="C40" s="9">
        <v>-2.24987</v>
      </c>
      <c r="D40" s="9">
        <v>-2.8238400000000001</v>
      </c>
      <c r="E40" s="9">
        <v>2.5012799999999999</v>
      </c>
      <c r="F40" s="9">
        <v>4.1322700000000001</v>
      </c>
      <c r="G40" s="9">
        <v>2.9602900000000001</v>
      </c>
      <c r="H40" s="9">
        <v>-2.9533399999999999</v>
      </c>
      <c r="I40" s="9">
        <v>0.40841</v>
      </c>
      <c r="J40" s="9">
        <v>5.4157799999999998</v>
      </c>
      <c r="K40" s="9">
        <v>8.2630599999999994</v>
      </c>
      <c r="L40" s="9">
        <v>-3.3252600000000001</v>
      </c>
      <c r="M40" s="26">
        <f>AVERAGE(B40:L40)</f>
        <v>0.55691454545454522</v>
      </c>
      <c r="N40" s="24">
        <f>MIN(B40:L40)</f>
        <v>-6.2027200000000002</v>
      </c>
      <c r="O40" s="24">
        <f>MAX(B40:L40)</f>
        <v>8.2630599999999994</v>
      </c>
      <c r="P40" s="24">
        <f>STDEV(B40:L40)</f>
        <v>4.4468933902138099</v>
      </c>
      <c r="Q40" s="32">
        <f>P40/SQRT(COUNT(B40:L40))</f>
        <v>1.3407888052773356</v>
      </c>
    </row>
    <row r="41" spans="1:17" ht="24">
      <c r="A41" s="5" t="s">
        <v>59</v>
      </c>
      <c r="B41" s="9">
        <v>9.7661999999999995</v>
      </c>
      <c r="C41" s="9">
        <v>4.7750700000000004</v>
      </c>
      <c r="D41" s="9">
        <v>0.79020000000000001</v>
      </c>
      <c r="E41" s="9">
        <v>-15.99832</v>
      </c>
      <c r="F41" s="9">
        <v>-15.54344</v>
      </c>
      <c r="G41" s="9">
        <v>-8.5799000000000003</v>
      </c>
      <c r="H41" s="9">
        <v>-5.69773</v>
      </c>
      <c r="I41" s="9">
        <v>-6.5371199999999998</v>
      </c>
      <c r="J41" s="9">
        <v>-7.9025699999999999</v>
      </c>
      <c r="K41" s="9">
        <v>-15.344519999999999</v>
      </c>
      <c r="L41" s="9">
        <v>46.575830000000003</v>
      </c>
      <c r="M41" s="26">
        <f t="shared" ref="M41:M57" si="38">AVERAGE(B41:L41)</f>
        <v>-1.2451181818181818</v>
      </c>
      <c r="N41" s="24">
        <f t="shared" ref="N41:N57" si="39">MIN(B41:L41)</f>
        <v>-15.99832</v>
      </c>
      <c r="O41" s="24">
        <f t="shared" ref="O41:O57" si="40">MAX(B41:L41)</f>
        <v>46.575830000000003</v>
      </c>
      <c r="P41" s="24">
        <f t="shared" ref="P41:P57" si="41">STDEV(B41:L41)</f>
        <v>17.931316810454174</v>
      </c>
      <c r="Q41" s="32">
        <f t="shared" ref="Q41:Q57" si="42">P41/SQRT(COUNT(B41:L41))</f>
        <v>5.406495441569894</v>
      </c>
    </row>
    <row r="42" spans="1:17" ht="24">
      <c r="A42" s="5" t="s">
        <v>60</v>
      </c>
      <c r="B42" s="9">
        <v>-12.126379999999999</v>
      </c>
      <c r="C42" s="9">
        <v>-23.561499999999999</v>
      </c>
      <c r="D42" s="9">
        <v>-20.793279999999999</v>
      </c>
      <c r="E42" s="9">
        <v>-13.303330000000001</v>
      </c>
      <c r="F42" s="9">
        <v>2.9630299999999998</v>
      </c>
      <c r="G42" s="9">
        <v>1.2910200000000001</v>
      </c>
      <c r="H42" s="9">
        <v>-6.9148800000000001</v>
      </c>
      <c r="I42" s="9">
        <v>-1.0639000000000001</v>
      </c>
      <c r="J42" s="9">
        <v>13.88977</v>
      </c>
      <c r="K42" s="9">
        <v>-44.044710000000002</v>
      </c>
      <c r="L42" s="9">
        <v>-29.278849999999998</v>
      </c>
      <c r="M42" s="26">
        <f t="shared" si="38"/>
        <v>-12.085728181818183</v>
      </c>
      <c r="N42" s="24">
        <f t="shared" si="39"/>
        <v>-44.044710000000002</v>
      </c>
      <c r="O42" s="24">
        <f t="shared" si="40"/>
        <v>13.88977</v>
      </c>
      <c r="P42" s="24">
        <f t="shared" si="41"/>
        <v>16.59616325803697</v>
      </c>
      <c r="Q42" s="32">
        <f t="shared" si="42"/>
        <v>5.003931498762805</v>
      </c>
    </row>
    <row r="43" spans="1:17" ht="24">
      <c r="A43" s="5" t="s">
        <v>61</v>
      </c>
      <c r="B43" s="9">
        <v>14.885109999999999</v>
      </c>
      <c r="C43" s="9">
        <v>23.35707</v>
      </c>
      <c r="D43" s="9">
        <v>19.512869999999999</v>
      </c>
      <c r="E43" s="9">
        <v>23.565740000000002</v>
      </c>
      <c r="F43" s="9">
        <v>16.455819999999999</v>
      </c>
      <c r="G43" s="9">
        <v>9.9025300000000005</v>
      </c>
      <c r="H43" s="9">
        <v>6.6718500000000001</v>
      </c>
      <c r="I43" s="9">
        <v>7.1397300000000001</v>
      </c>
      <c r="J43" s="9">
        <v>20.178899999999999</v>
      </c>
      <c r="K43" s="9">
        <v>39.324190000000002</v>
      </c>
      <c r="L43" s="9">
        <v>56.526130000000002</v>
      </c>
      <c r="M43" s="26">
        <f t="shared" si="38"/>
        <v>21.592721818181818</v>
      </c>
      <c r="N43" s="24">
        <f t="shared" si="39"/>
        <v>6.6718500000000001</v>
      </c>
      <c r="O43" s="24">
        <f t="shared" si="40"/>
        <v>56.526130000000002</v>
      </c>
      <c r="P43" s="24">
        <f t="shared" si="41"/>
        <v>14.790673283194259</v>
      </c>
      <c r="Q43" s="32">
        <f t="shared" si="42"/>
        <v>4.4595557888263064</v>
      </c>
    </row>
    <row r="44" spans="1:17" ht="24">
      <c r="A44" s="5" t="s">
        <v>62</v>
      </c>
      <c r="B44" s="9">
        <v>-97.033000000000001</v>
      </c>
      <c r="C44" s="9">
        <v>-105.441</v>
      </c>
      <c r="D44" s="9">
        <v>-167.447</v>
      </c>
      <c r="E44" s="9">
        <v>-118.83499999999999</v>
      </c>
      <c r="F44" s="9">
        <v>-191.874</v>
      </c>
      <c r="G44" s="9">
        <v>-165.16800000000001</v>
      </c>
      <c r="H44" s="9">
        <v>-198.97200000000001</v>
      </c>
      <c r="I44" s="9">
        <v>-85.831000000000003</v>
      </c>
      <c r="J44" s="9">
        <v>-54.954000000000001</v>
      </c>
      <c r="K44" s="9">
        <v>-205.98</v>
      </c>
      <c r="L44" s="9">
        <v>-186.71</v>
      </c>
      <c r="M44" s="26">
        <f t="shared" si="38"/>
        <v>-143.47681818181817</v>
      </c>
      <c r="N44" s="24">
        <f t="shared" si="39"/>
        <v>-205.98</v>
      </c>
      <c r="O44" s="24">
        <f t="shared" si="40"/>
        <v>-54.954000000000001</v>
      </c>
      <c r="P44" s="24">
        <f t="shared" si="41"/>
        <v>52.548202398974972</v>
      </c>
      <c r="Q44" s="32">
        <f t="shared" si="42"/>
        <v>15.843879160459409</v>
      </c>
    </row>
    <row r="45" spans="1:17" ht="24">
      <c r="A45" s="5" t="s">
        <v>63</v>
      </c>
      <c r="B45" s="9">
        <v>23.619</v>
      </c>
      <c r="C45" s="9">
        <v>56.273000000000003</v>
      </c>
      <c r="D45" s="9">
        <v>102.874</v>
      </c>
      <c r="E45" s="9">
        <v>76.180000000000007</v>
      </c>
      <c r="F45" s="9">
        <v>80.585999999999999</v>
      </c>
      <c r="G45" s="9">
        <v>90.334999999999994</v>
      </c>
      <c r="H45" s="9">
        <v>29.279</v>
      </c>
      <c r="I45" s="9">
        <v>42.24</v>
      </c>
      <c r="J45" s="9">
        <v>43.478999999999999</v>
      </c>
      <c r="K45" s="9">
        <v>40.259</v>
      </c>
      <c r="L45" s="9">
        <v>109.10599999999999</v>
      </c>
      <c r="M45" s="26">
        <f t="shared" si="38"/>
        <v>63.111818181818187</v>
      </c>
      <c r="N45" s="24">
        <f t="shared" si="39"/>
        <v>23.619</v>
      </c>
      <c r="O45" s="24">
        <f t="shared" si="40"/>
        <v>109.10599999999999</v>
      </c>
      <c r="P45" s="24">
        <f t="shared" si="41"/>
        <v>30.013605664158991</v>
      </c>
      <c r="Q45" s="32">
        <f t="shared" si="42"/>
        <v>9.0494425994273602</v>
      </c>
    </row>
    <row r="46" spans="1:17" ht="24">
      <c r="A46" s="5" t="s">
        <v>64</v>
      </c>
      <c r="B46" s="9">
        <v>-9.1199999999999992</v>
      </c>
      <c r="C46" s="9">
        <v>2.444</v>
      </c>
      <c r="D46" s="9">
        <v>-72.441000000000003</v>
      </c>
      <c r="E46" s="9">
        <v>-62.06</v>
      </c>
      <c r="F46" s="9">
        <v>-7.71</v>
      </c>
      <c r="G46" s="9">
        <v>28.692</v>
      </c>
      <c r="H46" s="9">
        <v>-60.911999999999999</v>
      </c>
      <c r="I46" s="9">
        <v>21.67</v>
      </c>
      <c r="J46" s="9">
        <v>-18.379000000000001</v>
      </c>
      <c r="K46" s="9">
        <v>39.529000000000003</v>
      </c>
      <c r="L46" s="9">
        <v>83.798000000000002</v>
      </c>
      <c r="M46" s="26">
        <f t="shared" si="38"/>
        <v>-4.9535454545454547</v>
      </c>
      <c r="N46" s="24">
        <f t="shared" si="39"/>
        <v>-72.441000000000003</v>
      </c>
      <c r="O46" s="24">
        <f t="shared" si="40"/>
        <v>83.798000000000002</v>
      </c>
      <c r="P46" s="24">
        <f t="shared" si="41"/>
        <v>47.857440145422814</v>
      </c>
      <c r="Q46" s="32">
        <f t="shared" si="42"/>
        <v>14.429561126296276</v>
      </c>
    </row>
    <row r="47" spans="1:17" ht="24">
      <c r="A47" s="5" t="s">
        <v>65</v>
      </c>
      <c r="B47" s="9">
        <v>101.66</v>
      </c>
      <c r="C47" s="9">
        <v>123.453</v>
      </c>
      <c r="D47" s="9">
        <v>210.642</v>
      </c>
      <c r="E47" s="9">
        <v>155.18799999999999</v>
      </c>
      <c r="F47" s="9">
        <v>210.28200000000001</v>
      </c>
      <c r="G47" s="9">
        <v>191.517</v>
      </c>
      <c r="H47" s="9">
        <v>227.92400000000001</v>
      </c>
      <c r="I47" s="9">
        <v>130.95400000000001</v>
      </c>
      <c r="J47" s="9">
        <v>82.388000000000005</v>
      </c>
      <c r="K47" s="9">
        <v>216.03299999999999</v>
      </c>
      <c r="L47" s="9">
        <v>232.755</v>
      </c>
      <c r="M47" s="26">
        <f t="shared" si="38"/>
        <v>171.1632727272727</v>
      </c>
      <c r="N47" s="24">
        <f t="shared" si="39"/>
        <v>82.388000000000005</v>
      </c>
      <c r="O47" s="24">
        <f t="shared" si="40"/>
        <v>232.755</v>
      </c>
      <c r="P47" s="24">
        <f t="shared" si="41"/>
        <v>54.214159997349284</v>
      </c>
      <c r="Q47" s="32">
        <f t="shared" si="42"/>
        <v>16.346184275954791</v>
      </c>
    </row>
    <row r="48" spans="1:17" ht="24">
      <c r="A48" s="5" t="s">
        <v>80</v>
      </c>
      <c r="B48" s="9">
        <v>47.840269999999997</v>
      </c>
      <c r="C48" s="9">
        <v>26.499549999999999</v>
      </c>
      <c r="D48" s="9">
        <v>15.39115</v>
      </c>
      <c r="E48" s="9">
        <v>13.67811</v>
      </c>
      <c r="F48" s="9">
        <v>10.912570000000001</v>
      </c>
      <c r="G48" s="9">
        <v>18.003769999999999</v>
      </c>
      <c r="H48" s="9">
        <v>14.16235</v>
      </c>
      <c r="I48" s="9">
        <v>15.871259999999999</v>
      </c>
      <c r="J48" s="9">
        <v>40.56429</v>
      </c>
      <c r="K48" s="9">
        <v>101.27652999999999</v>
      </c>
      <c r="L48" s="9">
        <v>97.381969999999995</v>
      </c>
      <c r="M48" s="26">
        <f t="shared" si="38"/>
        <v>36.507438181818181</v>
      </c>
      <c r="N48" s="24">
        <f t="shared" si="39"/>
        <v>10.912570000000001</v>
      </c>
      <c r="O48" s="24">
        <f t="shared" si="40"/>
        <v>101.27652999999999</v>
      </c>
      <c r="P48" s="24">
        <f t="shared" si="41"/>
        <v>33.21973285508443</v>
      </c>
      <c r="Q48" s="32">
        <f t="shared" si="42"/>
        <v>10.016126319650617</v>
      </c>
    </row>
    <row r="49" spans="1:17" ht="24">
      <c r="A49" s="5" t="s">
        <v>81</v>
      </c>
      <c r="B49" s="9">
        <v>30.500679999999999</v>
      </c>
      <c r="C49" s="9">
        <v>32.578890000000001</v>
      </c>
      <c r="D49" s="9">
        <v>51.720509999999997</v>
      </c>
      <c r="E49" s="9">
        <v>66.649140000000003</v>
      </c>
      <c r="F49" s="9">
        <v>56.788969999999999</v>
      </c>
      <c r="G49" s="9">
        <v>40.285299999999999</v>
      </c>
      <c r="H49" s="9">
        <v>30.827089999999998</v>
      </c>
      <c r="I49" s="9">
        <v>36.24389</v>
      </c>
      <c r="J49" s="9">
        <v>31.034189999999999</v>
      </c>
      <c r="K49" s="9">
        <v>66.096729999999994</v>
      </c>
      <c r="L49" s="9">
        <v>81.464230000000001</v>
      </c>
      <c r="M49" s="26">
        <f t="shared" si="38"/>
        <v>47.653601818181826</v>
      </c>
      <c r="N49" s="24">
        <f t="shared" si="39"/>
        <v>30.500679999999999</v>
      </c>
      <c r="O49" s="24">
        <f t="shared" si="40"/>
        <v>81.464230000000001</v>
      </c>
      <c r="P49" s="24">
        <f t="shared" si="41"/>
        <v>17.914832200953352</v>
      </c>
      <c r="Q49" s="32">
        <f t="shared" si="42"/>
        <v>5.4015251447944621</v>
      </c>
    </row>
    <row r="50" spans="1:17" ht="24">
      <c r="A50" s="5" t="s">
        <v>82</v>
      </c>
      <c r="B50" s="9">
        <v>158.59719999999999</v>
      </c>
      <c r="C50" s="9">
        <v>80.019890000000004</v>
      </c>
      <c r="D50" s="9">
        <v>279.71978999999999</v>
      </c>
      <c r="E50" s="9">
        <v>281.17624000000001</v>
      </c>
      <c r="F50" s="9">
        <v>311.04953</v>
      </c>
      <c r="G50" s="9">
        <v>63.561869999999999</v>
      </c>
      <c r="H50" s="9">
        <v>148.32730000000001</v>
      </c>
      <c r="I50" s="9">
        <v>203.45994999999999</v>
      </c>
      <c r="J50" s="9">
        <v>145.31645</v>
      </c>
      <c r="K50" s="9">
        <v>179.58179999999999</v>
      </c>
      <c r="L50" s="9">
        <v>176.66451000000001</v>
      </c>
      <c r="M50" s="26">
        <f t="shared" si="38"/>
        <v>184.31586636363633</v>
      </c>
      <c r="N50" s="24">
        <f t="shared" si="39"/>
        <v>63.561869999999999</v>
      </c>
      <c r="O50" s="24">
        <f t="shared" si="40"/>
        <v>311.04953</v>
      </c>
      <c r="P50" s="24">
        <f t="shared" si="41"/>
        <v>79.95590798075547</v>
      </c>
      <c r="Q50" s="32">
        <f t="shared" si="42"/>
        <v>24.107613322213524</v>
      </c>
    </row>
    <row r="51" spans="1:17" ht="24">
      <c r="A51" s="6" t="s">
        <v>83</v>
      </c>
      <c r="B51" s="9">
        <v>2.8229799999999998</v>
      </c>
      <c r="C51" s="9">
        <v>0.63995000000000002</v>
      </c>
      <c r="D51" s="9">
        <v>0.85782000000000003</v>
      </c>
      <c r="E51" s="9">
        <v>0.66961000000000004</v>
      </c>
      <c r="F51" s="9">
        <v>0.94652000000000003</v>
      </c>
      <c r="G51" s="9">
        <v>3.0002499999999999</v>
      </c>
      <c r="H51" s="9">
        <v>4.8596899999999996</v>
      </c>
      <c r="I51" s="9">
        <v>5.9671799999999999</v>
      </c>
      <c r="J51" s="9">
        <v>1.9076</v>
      </c>
      <c r="K51" s="9">
        <v>2.3671099999999998</v>
      </c>
      <c r="L51" s="9">
        <v>1.0019899999999999</v>
      </c>
      <c r="M51" s="26">
        <f t="shared" si="38"/>
        <v>2.2764272727272723</v>
      </c>
      <c r="N51" s="24">
        <f t="shared" si="39"/>
        <v>0.63995000000000002</v>
      </c>
      <c r="O51" s="24">
        <f t="shared" si="40"/>
        <v>5.9671799999999999</v>
      </c>
      <c r="P51" s="24">
        <f t="shared" si="41"/>
        <v>1.7868130308685963</v>
      </c>
      <c r="Q51" s="32">
        <f t="shared" si="42"/>
        <v>0.53874439944625951</v>
      </c>
    </row>
    <row r="52" spans="1:17" ht="24">
      <c r="A52" s="6" t="s">
        <v>84</v>
      </c>
      <c r="B52" s="9">
        <v>14.70551</v>
      </c>
      <c r="C52" s="9">
        <v>1.5660400000000001</v>
      </c>
      <c r="D52" s="9">
        <v>4.6487299999999996</v>
      </c>
      <c r="E52" s="9">
        <v>2.827</v>
      </c>
      <c r="F52" s="9">
        <v>5.1516700000000002</v>
      </c>
      <c r="G52" s="9">
        <v>4.7506899999999996</v>
      </c>
      <c r="H52" s="9">
        <v>26.39039</v>
      </c>
      <c r="I52" s="9">
        <v>30.262</v>
      </c>
      <c r="J52" s="9">
        <v>9.2649299999999997</v>
      </c>
      <c r="K52" s="9">
        <v>6.5503799999999996</v>
      </c>
      <c r="L52" s="9">
        <v>2.1680199999999998</v>
      </c>
      <c r="M52" s="26">
        <f t="shared" si="38"/>
        <v>9.8441236363636353</v>
      </c>
      <c r="N52" s="24">
        <f t="shared" si="39"/>
        <v>1.5660400000000001</v>
      </c>
      <c r="O52" s="24">
        <f t="shared" si="40"/>
        <v>30.262</v>
      </c>
      <c r="P52" s="24">
        <f t="shared" si="41"/>
        <v>9.8849858765364687</v>
      </c>
      <c r="Q52" s="32">
        <f t="shared" si="42"/>
        <v>2.9804353827667138</v>
      </c>
    </row>
    <row r="53" spans="1:17" ht="24">
      <c r="A53" s="6" t="s">
        <v>85</v>
      </c>
      <c r="B53" s="9">
        <v>17.528490000000001</v>
      </c>
      <c r="C53" s="9">
        <v>2.206</v>
      </c>
      <c r="D53" s="9">
        <v>5.5065400000000002</v>
      </c>
      <c r="E53" s="9">
        <v>3.4965999999999999</v>
      </c>
      <c r="F53" s="9">
        <v>6.0981899999999998</v>
      </c>
      <c r="G53" s="9">
        <v>7.7509300000000003</v>
      </c>
      <c r="H53" s="9">
        <v>31.250080000000001</v>
      </c>
      <c r="I53" s="9">
        <v>36.229179999999999</v>
      </c>
      <c r="J53" s="9">
        <v>11.17252</v>
      </c>
      <c r="K53" s="9">
        <v>8.9174799999999994</v>
      </c>
      <c r="L53" s="9">
        <v>3.17001</v>
      </c>
      <c r="M53" s="26">
        <f t="shared" si="38"/>
        <v>12.120547272727272</v>
      </c>
      <c r="N53" s="24">
        <f t="shared" si="39"/>
        <v>2.206</v>
      </c>
      <c r="O53" s="24">
        <f t="shared" si="40"/>
        <v>36.229179999999999</v>
      </c>
      <c r="P53" s="24">
        <f t="shared" si="41"/>
        <v>11.573502929700318</v>
      </c>
      <c r="Q53" s="32">
        <f t="shared" si="42"/>
        <v>3.4895424298086293</v>
      </c>
    </row>
    <row r="54" spans="1:17" ht="24">
      <c r="A54" s="5" t="s">
        <v>14</v>
      </c>
      <c r="B54" s="9">
        <f>-1*(((B$45*10^(3))*(B$42*10^(-9))) - ((B$46*10^(3))*(B$41*10^(-9))))*10^(3)</f>
        <v>0.19734522521999998</v>
      </c>
      <c r="C54" s="9">
        <f t="shared" ref="C54:L54" si="43">-1*(((C$7*10^(3))*(C$4*10^(-9))) - ((C$8*10^(3))*(C$3*10^(-9))))*10^(3)</f>
        <v>1.6665960649999995E-2</v>
      </c>
      <c r="D54" s="9">
        <f t="shared" si="43"/>
        <v>0.44832596066000008</v>
      </c>
      <c r="E54" s="9">
        <f t="shared" si="43"/>
        <v>0.53454290460999998</v>
      </c>
      <c r="F54" s="9">
        <f t="shared" si="43"/>
        <v>-8.9563409240000016E-2</v>
      </c>
      <c r="G54" s="9">
        <f t="shared" si="43"/>
        <v>5.5459473600000002E-3</v>
      </c>
      <c r="H54" s="9">
        <f t="shared" si="43"/>
        <v>-4.0472183599999994E-3</v>
      </c>
      <c r="I54" s="9">
        <f t="shared" si="43"/>
        <v>-1.5255967800000005E-3</v>
      </c>
      <c r="J54" s="9">
        <f t="shared" si="43"/>
        <v>0.13848363608000003</v>
      </c>
      <c r="K54" s="9">
        <f t="shared" si="43"/>
        <v>-0.11980781202</v>
      </c>
      <c r="L54" s="9">
        <f t="shared" si="43"/>
        <v>1.1165931654000001</v>
      </c>
      <c r="M54" s="26">
        <f t="shared" si="38"/>
        <v>0.20386897850727273</v>
      </c>
      <c r="N54" s="24">
        <f t="shared" si="39"/>
        <v>-0.11980781202</v>
      </c>
      <c r="O54" s="24">
        <f t="shared" si="40"/>
        <v>1.1165931654000001</v>
      </c>
      <c r="P54" s="24">
        <f t="shared" si="41"/>
        <v>0.36839516923926813</v>
      </c>
      <c r="Q54" s="32">
        <f t="shared" si="42"/>
        <v>0.11107532281328451</v>
      </c>
    </row>
    <row r="55" spans="1:17" ht="24">
      <c r="A55" s="5" t="s">
        <v>16</v>
      </c>
      <c r="B55" s="9">
        <f>-1*(((B$46*10^(3))*(B$40*10^(-9))) - ((B$44*10^(3))*(B$42*10^(-9))))*10^(3)</f>
        <v>1.1200902241399997</v>
      </c>
      <c r="C55" s="9">
        <f t="shared" ref="C55:L55" si="44">-1*(((C$8*10^(3))*(C$2*10^(-9))) - ((C$6*10^(3))*(C$4*10^(-9))))*10^(3)</f>
        <v>-0.24392325105000001</v>
      </c>
      <c r="D55" s="9">
        <f t="shared" si="44"/>
        <v>2.8116183839000004</v>
      </c>
      <c r="E55" s="9">
        <f t="shared" si="44"/>
        <v>3.0910914785600001</v>
      </c>
      <c r="F55" s="9">
        <f t="shared" si="44"/>
        <v>-0.41423795128000002</v>
      </c>
      <c r="G55" s="9">
        <f t="shared" si="44"/>
        <v>0.11470018025999999</v>
      </c>
      <c r="H55" s="9">
        <f t="shared" si="44"/>
        <v>7.9677781869999992E-2</v>
      </c>
      <c r="I55" s="9">
        <f t="shared" si="44"/>
        <v>0.10542870988</v>
      </c>
      <c r="J55" s="9">
        <f t="shared" si="44"/>
        <v>0.55480491862000003</v>
      </c>
      <c r="K55" s="9">
        <f t="shared" si="44"/>
        <v>4.2710455979100006</v>
      </c>
      <c r="L55" s="9">
        <f t="shared" si="44"/>
        <v>4.3571582538000007</v>
      </c>
      <c r="M55" s="26">
        <f t="shared" si="38"/>
        <v>1.4406776660554548</v>
      </c>
      <c r="N55" s="24">
        <f t="shared" si="39"/>
        <v>-0.41423795128000002</v>
      </c>
      <c r="O55" s="24">
        <f t="shared" si="40"/>
        <v>4.3571582538000007</v>
      </c>
      <c r="P55" s="24">
        <f t="shared" si="41"/>
        <v>1.8352043928450692</v>
      </c>
      <c r="Q55" s="32">
        <f t="shared" si="42"/>
        <v>0.55333494406173511</v>
      </c>
    </row>
    <row r="56" spans="1:17" ht="24">
      <c r="A56" s="5" t="s">
        <v>15</v>
      </c>
      <c r="B56" s="9">
        <f>-1*(((B$44*10^(3))*(B$41*10^(-9))) - ((B$45*10^(3))*(B$40*10^(-9))))*10^(3)</f>
        <v>0.80114164092000006</v>
      </c>
      <c r="C56" s="9">
        <f t="shared" ref="C56:L56" si="45">-1*(((C$6*10^(3))*(C$3*10^(-9))) - ((C$7*10^(3))*(C$2*10^(-9))))*10^(3)</f>
        <v>2.0468872832000002</v>
      </c>
      <c r="D56" s="9">
        <f t="shared" si="45"/>
        <v>0.15344166659</v>
      </c>
      <c r="E56" s="9">
        <f t="shared" si="45"/>
        <v>-4.9851554730000004E-2</v>
      </c>
      <c r="F56" s="9">
        <f t="shared" si="45"/>
        <v>-2.1896149773100007</v>
      </c>
      <c r="G56" s="9">
        <f t="shared" si="45"/>
        <v>-0.21485569875000005</v>
      </c>
      <c r="H56" s="9">
        <f t="shared" si="45"/>
        <v>-0.34496708147999999</v>
      </c>
      <c r="I56" s="9">
        <f t="shared" si="45"/>
        <v>-0.48311560781999996</v>
      </c>
      <c r="J56" s="9">
        <f t="shared" si="45"/>
        <v>0.21226995072999999</v>
      </c>
      <c r="K56" s="9">
        <f t="shared" si="45"/>
        <v>-1.0958587964399999</v>
      </c>
      <c r="L56" s="9">
        <f t="shared" si="45"/>
        <v>7.6870558077000002</v>
      </c>
      <c r="M56" s="26">
        <f t="shared" si="38"/>
        <v>0.59295751205545455</v>
      </c>
      <c r="N56" s="24">
        <f t="shared" si="39"/>
        <v>-2.1896149773100007</v>
      </c>
      <c r="O56" s="24">
        <f t="shared" si="40"/>
        <v>7.6870558077000002</v>
      </c>
      <c r="P56" s="24">
        <f t="shared" si="41"/>
        <v>2.5791431135504235</v>
      </c>
      <c r="Q56" s="32">
        <f t="shared" si="42"/>
        <v>0.77764090802506791</v>
      </c>
    </row>
    <row r="57" spans="1:17" ht="24">
      <c r="A57" s="5" t="s">
        <v>17</v>
      </c>
      <c r="B57" s="9">
        <f>SQRT(B54^2 + B55^2 + B56^2)</f>
        <v>1.3911776223570869</v>
      </c>
      <c r="C57" s="9">
        <f t="shared" ref="C57:L57" si="46">SQRT(C54^2 + C55^2 + C56^2)</f>
        <v>2.0614373278790374</v>
      </c>
      <c r="D57" s="9">
        <f t="shared" si="46"/>
        <v>2.8512696204905068</v>
      </c>
      <c r="E57" s="9">
        <f t="shared" si="46"/>
        <v>3.1373663833228247</v>
      </c>
      <c r="F57" s="9">
        <f t="shared" si="46"/>
        <v>2.2302529976250716</v>
      </c>
      <c r="G57" s="9">
        <f t="shared" si="46"/>
        <v>0.24361826731414693</v>
      </c>
      <c r="H57" s="9">
        <f t="shared" si="46"/>
        <v>0.35407233188291592</v>
      </c>
      <c r="I57" s="9">
        <f t="shared" si="46"/>
        <v>0.49448784700110104</v>
      </c>
      <c r="J57" s="9">
        <f t="shared" si="46"/>
        <v>0.60995470911355321</v>
      </c>
      <c r="K57" s="9">
        <f t="shared" si="46"/>
        <v>4.4110192601010416</v>
      </c>
      <c r="L57" s="9">
        <f t="shared" si="46"/>
        <v>8.9063143519847632</v>
      </c>
      <c r="M57" s="26">
        <f t="shared" si="38"/>
        <v>2.4264518835520046</v>
      </c>
      <c r="N57" s="24">
        <f t="shared" si="39"/>
        <v>0.24361826731414693</v>
      </c>
      <c r="O57" s="24">
        <f t="shared" si="40"/>
        <v>8.9063143519847632</v>
      </c>
      <c r="P57" s="24">
        <f t="shared" si="41"/>
        <v>2.5287978145291903</v>
      </c>
      <c r="Q57" s="32">
        <f t="shared" si="42"/>
        <v>0.76246122922400628</v>
      </c>
    </row>
    <row r="58" spans="1:17">
      <c r="A58" s="29" t="s">
        <v>18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5" t="s">
        <v>93</v>
      </c>
      <c r="N58" s="12" t="s">
        <v>96</v>
      </c>
      <c r="O58" s="12" t="s">
        <v>97</v>
      </c>
      <c r="P58" s="12" t="s">
        <v>94</v>
      </c>
      <c r="Q58" s="36" t="s">
        <v>95</v>
      </c>
    </row>
    <row r="59" spans="1:17" ht="24">
      <c r="A59" s="5" t="s">
        <v>52</v>
      </c>
      <c r="B59" s="11">
        <f>(B48*10^(6))*($T$3*$W$5*B49)</f>
        <v>2.3378331234637009E-10</v>
      </c>
      <c r="C59" s="11">
        <f t="shared" ref="C59:L59" si="47">(C48*10^(6))*($T$3*$W$5*C49)</f>
        <v>1.3832005280967496E-10</v>
      </c>
      <c r="D59" s="11">
        <f t="shared" si="47"/>
        <v>1.2753935994251637E-10</v>
      </c>
      <c r="E59" s="11">
        <f t="shared" si="47"/>
        <v>1.4605990224489286E-10</v>
      </c>
      <c r="F59" s="11">
        <f t="shared" si="47"/>
        <v>9.9289059761041726E-11</v>
      </c>
      <c r="G59" s="11">
        <f t="shared" si="47"/>
        <v>1.1620382455062867E-10</v>
      </c>
      <c r="H59" s="11">
        <f t="shared" si="47"/>
        <v>6.9948469618281218E-11</v>
      </c>
      <c r="I59" s="11">
        <f t="shared" si="47"/>
        <v>9.2162993749631768E-11</v>
      </c>
      <c r="J59" s="11">
        <f t="shared" si="47"/>
        <v>2.0169477941825214E-10</v>
      </c>
      <c r="K59" s="11">
        <f t="shared" si="47"/>
        <v>1.0725045683542171E-9</v>
      </c>
      <c r="L59" s="11">
        <f t="shared" si="47"/>
        <v>1.2710302201969228E-9</v>
      </c>
      <c r="M59" s="27">
        <f t="shared" ref="M59:M65" si="48">AVERAGE(B59:L59)</f>
        <v>3.2441241299931177E-10</v>
      </c>
      <c r="N59" s="11">
        <f>MIN(B59:L59)</f>
        <v>6.9948469618281218E-11</v>
      </c>
      <c r="O59" s="11">
        <f>MAX(B59:L59)</f>
        <v>1.2710302201969228E-9</v>
      </c>
      <c r="P59" s="11">
        <f t="shared" ref="P59:P65" si="49">STDEV(B59:L59)</f>
        <v>4.2390121639565867E-10</v>
      </c>
      <c r="Q59" s="33">
        <f t="shared" ref="Q59:Q65" si="50">P59/SQRT(COUNT(B59:L59))</f>
        <v>1.2781102572360458E-10</v>
      </c>
    </row>
    <row r="60" spans="1:17" ht="24">
      <c r="A60" s="6" t="s">
        <v>53</v>
      </c>
      <c r="B60" s="9">
        <f>$T$2*(B43*10^(-9))/$T$7</f>
        <v>2618.0230477815253</v>
      </c>
      <c r="C60" s="9">
        <f t="shared" ref="C60:L60" si="51">$T$2*(C43*10^(-9))/$T$7</f>
        <v>4108.0883909253234</v>
      </c>
      <c r="D60" s="9">
        <f t="shared" si="51"/>
        <v>3431.9627727551024</v>
      </c>
      <c r="E60" s="9">
        <f t="shared" si="51"/>
        <v>4144.7896896984312</v>
      </c>
      <c r="F60" s="9">
        <f t="shared" si="51"/>
        <v>2894.2826777997734</v>
      </c>
      <c r="G60" s="9">
        <f t="shared" si="51"/>
        <v>1741.676868450955</v>
      </c>
      <c r="H60" s="9">
        <f t="shared" si="51"/>
        <v>1173.4583803103351</v>
      </c>
      <c r="I60" s="9">
        <f t="shared" si="51"/>
        <v>1255.7500545805299</v>
      </c>
      <c r="J60" s="9">
        <f t="shared" si="51"/>
        <v>3549.1054670659892</v>
      </c>
      <c r="K60" s="9">
        <f t="shared" si="51"/>
        <v>6916.4175310320043</v>
      </c>
      <c r="L60" s="9">
        <f t="shared" si="51"/>
        <v>9941.9292932262342</v>
      </c>
      <c r="M60" s="26">
        <f t="shared" si="48"/>
        <v>3797.7712885114729</v>
      </c>
      <c r="N60" s="24">
        <f>MIN(B60:L60)</f>
        <v>1173.4583803103351</v>
      </c>
      <c r="O60" s="24">
        <f>MAX(B60:L60)</f>
        <v>9941.9292932262342</v>
      </c>
      <c r="P60" s="24">
        <f t="shared" si="49"/>
        <v>2601.4133283266974</v>
      </c>
      <c r="Q60" s="32">
        <f t="shared" si="50"/>
        <v>784.35563042629781</v>
      </c>
    </row>
    <row r="61" spans="1:17" ht="24">
      <c r="A61" s="6" t="s">
        <v>54</v>
      </c>
      <c r="B61" s="11">
        <f>SQRT((B48*10^(6))*$T$2^(2)/($T$5*$T$7))</f>
        <v>390200.96765914385</v>
      </c>
      <c r="C61" s="11">
        <f t="shared" ref="C61:L61" si="52">SQRT((C48*10^(6))*$T$2^(2)/($T$5*$T$7))</f>
        <v>290409.47424523009</v>
      </c>
      <c r="D61" s="11">
        <f t="shared" si="52"/>
        <v>221323.26400602897</v>
      </c>
      <c r="E61" s="11">
        <f t="shared" si="52"/>
        <v>208643.36434944236</v>
      </c>
      <c r="F61" s="11">
        <f t="shared" si="52"/>
        <v>186361.00864397464</v>
      </c>
      <c r="G61" s="11">
        <f t="shared" si="52"/>
        <v>239371.95077499474</v>
      </c>
      <c r="H61" s="11">
        <f t="shared" si="52"/>
        <v>212304.49659060026</v>
      </c>
      <c r="I61" s="11">
        <f t="shared" si="52"/>
        <v>224748.7237059217</v>
      </c>
      <c r="J61" s="11">
        <f t="shared" si="52"/>
        <v>359305.17349471594</v>
      </c>
      <c r="K61" s="11">
        <f t="shared" si="52"/>
        <v>567735.35142368905</v>
      </c>
      <c r="L61" s="11">
        <f t="shared" si="52"/>
        <v>556712.29010692984</v>
      </c>
      <c r="M61" s="27">
        <f t="shared" si="48"/>
        <v>314283.27863642474</v>
      </c>
      <c r="N61" s="11">
        <f>MIN(B61:L61)</f>
        <v>186361.00864397464</v>
      </c>
      <c r="O61" s="11">
        <f t="shared" ref="O61:O65" si="53">MAX(B61:L61)</f>
        <v>567735.35142368905</v>
      </c>
      <c r="P61" s="11">
        <f t="shared" si="49"/>
        <v>138406.46024980131</v>
      </c>
      <c r="Q61" s="33">
        <f t="shared" si="50"/>
        <v>41731.117928166386</v>
      </c>
    </row>
    <row r="62" spans="1:17" ht="24">
      <c r="A62" s="5" t="s">
        <v>57</v>
      </c>
      <c r="B62" s="11">
        <f>SQRT(2*($T$3*$W$5*B49)/$T$7)</f>
        <v>3275521.5547200562</v>
      </c>
      <c r="C62" s="11">
        <f t="shared" ref="C62:L62" si="54">SQRT(2*($T$3*$W$5*C49)/$T$7)</f>
        <v>3385274.130009695</v>
      </c>
      <c r="D62" s="11">
        <f t="shared" si="54"/>
        <v>4265373.8304632213</v>
      </c>
      <c r="E62" s="11">
        <f t="shared" si="54"/>
        <v>4841979.8267009584</v>
      </c>
      <c r="F62" s="11">
        <f t="shared" si="54"/>
        <v>4469487.1875381144</v>
      </c>
      <c r="G62" s="11">
        <f t="shared" si="54"/>
        <v>3764428.058445727</v>
      </c>
      <c r="H62" s="11">
        <f t="shared" si="54"/>
        <v>3293001.7833907157</v>
      </c>
      <c r="I62" s="11">
        <f t="shared" si="54"/>
        <v>3570615.6368424827</v>
      </c>
      <c r="J62" s="11">
        <f t="shared" si="54"/>
        <v>3304044.6533835018</v>
      </c>
      <c r="K62" s="11">
        <f t="shared" si="54"/>
        <v>4821872.1142626796</v>
      </c>
      <c r="L62" s="11">
        <f t="shared" si="54"/>
        <v>5353147.1197086414</v>
      </c>
      <c r="M62" s="27">
        <f t="shared" si="48"/>
        <v>4031340.5359514356</v>
      </c>
      <c r="N62" s="11">
        <f>MIN(B62:L62)</f>
        <v>3275521.5547200562</v>
      </c>
      <c r="O62" s="11">
        <f t="shared" si="53"/>
        <v>5353147.1197086414</v>
      </c>
      <c r="P62" s="11">
        <f t="shared" si="49"/>
        <v>749817.9914506753</v>
      </c>
      <c r="Q62" s="33">
        <f t="shared" si="50"/>
        <v>226078.63079089118</v>
      </c>
    </row>
    <row r="63" spans="1:17" ht="24">
      <c r="A63" s="5" t="s">
        <v>7</v>
      </c>
      <c r="B63" s="9">
        <f>$T$6/B61</f>
        <v>768.30270260217185</v>
      </c>
      <c r="C63" s="9">
        <f t="shared" ref="C63:L63" si="55">$T$6/C61</f>
        <v>1032.3094960646827</v>
      </c>
      <c r="D63" s="9">
        <f t="shared" si="55"/>
        <v>1354.5456206643346</v>
      </c>
      <c r="E63" s="9">
        <f t="shared" si="55"/>
        <v>1436.8655286271228</v>
      </c>
      <c r="F63" s="9">
        <f t="shared" si="55"/>
        <v>1608.6651397301057</v>
      </c>
      <c r="G63" s="9">
        <f t="shared" si="55"/>
        <v>1252.4126450066085</v>
      </c>
      <c r="H63" s="9">
        <f t="shared" si="55"/>
        <v>1412.0871805584552</v>
      </c>
      <c r="I63" s="9">
        <f t="shared" si="55"/>
        <v>1333.9006027138739</v>
      </c>
      <c r="J63" s="9">
        <f t="shared" si="55"/>
        <v>834.3672179685766</v>
      </c>
      <c r="K63" s="9">
        <f t="shared" si="55"/>
        <v>528.04965774761843</v>
      </c>
      <c r="L63" s="9">
        <f t="shared" si="55"/>
        <v>538.50519081035668</v>
      </c>
      <c r="M63" s="26">
        <f t="shared" si="48"/>
        <v>1100.0009984085368</v>
      </c>
      <c r="N63" s="24">
        <f t="shared" ref="N63:N65" si="56">MIN(B63:L63)</f>
        <v>528.04965774761843</v>
      </c>
      <c r="O63" s="24">
        <f t="shared" si="53"/>
        <v>1608.6651397301057</v>
      </c>
      <c r="P63" s="24">
        <f t="shared" si="49"/>
        <v>379.46265789697719</v>
      </c>
      <c r="Q63" s="32">
        <f t="shared" si="50"/>
        <v>114.41229619956952</v>
      </c>
    </row>
    <row r="64" spans="1:17" ht="24">
      <c r="A64" s="6" t="s">
        <v>9</v>
      </c>
      <c r="B64" s="9">
        <f>B62/B60</f>
        <v>1251.1431316449584</v>
      </c>
      <c r="C64" s="9">
        <f t="shared" ref="C64:L64" si="57">C62/C60</f>
        <v>824.05094726970594</v>
      </c>
      <c r="D64" s="9">
        <f t="shared" si="57"/>
        <v>1242.8380238632587</v>
      </c>
      <c r="E64" s="9">
        <f t="shared" si="57"/>
        <v>1168.2088089379642</v>
      </c>
      <c r="F64" s="9">
        <f t="shared" si="57"/>
        <v>1544.2469465131194</v>
      </c>
      <c r="G64" s="9">
        <f t="shared" si="57"/>
        <v>2161.3814402862249</v>
      </c>
      <c r="H64" s="9">
        <f t="shared" si="57"/>
        <v>2806.2365386319384</v>
      </c>
      <c r="I64" s="9">
        <f t="shared" si="57"/>
        <v>2843.4126869580023</v>
      </c>
      <c r="J64" s="9">
        <f t="shared" si="57"/>
        <v>930.95138593188199</v>
      </c>
      <c r="K64" s="9">
        <f t="shared" si="57"/>
        <v>697.16324855003427</v>
      </c>
      <c r="L64" s="9">
        <f t="shared" si="57"/>
        <v>538.44147969910807</v>
      </c>
      <c r="M64" s="26">
        <f t="shared" si="48"/>
        <v>1455.279512571472</v>
      </c>
      <c r="N64" s="24">
        <f t="shared" si="56"/>
        <v>538.44147969910807</v>
      </c>
      <c r="O64" s="24">
        <f t="shared" si="53"/>
        <v>2843.4126869580023</v>
      </c>
      <c r="P64" s="24">
        <f t="shared" si="49"/>
        <v>807.24272087641623</v>
      </c>
      <c r="Q64" s="32">
        <f t="shared" si="50"/>
        <v>243.39283817206061</v>
      </c>
    </row>
    <row r="65" spans="1:17" ht="24">
      <c r="A65" s="6" t="s">
        <v>10</v>
      </c>
      <c r="B65" s="9">
        <f>B62/B61/SQRT(2)</f>
        <v>5.9357707828354194</v>
      </c>
      <c r="C65" s="9">
        <f t="shared" ref="C65:L65" si="58">C62/C61/SQRT(2)</f>
        <v>8.2426728663951696</v>
      </c>
      <c r="D65" s="9">
        <f t="shared" si="58"/>
        <v>13.627463761487014</v>
      </c>
      <c r="E65" s="9">
        <f t="shared" si="58"/>
        <v>16.40980426338616</v>
      </c>
      <c r="F65" s="9">
        <f t="shared" si="58"/>
        <v>16.958508229434678</v>
      </c>
      <c r="G65" s="9">
        <f t="shared" si="58"/>
        <v>11.120152544179978</v>
      </c>
      <c r="H65" s="9">
        <f t="shared" si="58"/>
        <v>10.967755883122749</v>
      </c>
      <c r="I65" s="9">
        <f t="shared" si="58"/>
        <v>11.233908198409576</v>
      </c>
      <c r="J65" s="9">
        <f t="shared" si="58"/>
        <v>6.5023065407795713</v>
      </c>
      <c r="K65" s="9">
        <f t="shared" si="58"/>
        <v>6.0055771786262406</v>
      </c>
      <c r="L65" s="9">
        <f t="shared" si="58"/>
        <v>6.7992869859369707</v>
      </c>
      <c r="M65" s="26">
        <f t="shared" si="48"/>
        <v>10.345746112235775</v>
      </c>
      <c r="N65" s="24">
        <f t="shared" si="56"/>
        <v>5.9357707828354194</v>
      </c>
      <c r="O65" s="24">
        <f t="shared" si="53"/>
        <v>16.958508229434678</v>
      </c>
      <c r="P65" s="24">
        <f t="shared" si="49"/>
        <v>4.0386110744454786</v>
      </c>
      <c r="Q65" s="32">
        <f t="shared" si="50"/>
        <v>1.2176870552827028</v>
      </c>
    </row>
    <row r="66" spans="1:17">
      <c r="A66" s="31" t="s">
        <v>19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5" t="s">
        <v>93</v>
      </c>
      <c r="N66" s="12" t="s">
        <v>96</v>
      </c>
      <c r="O66" s="12" t="s">
        <v>97</v>
      </c>
      <c r="P66" s="12" t="s">
        <v>94</v>
      </c>
      <c r="Q66" s="36" t="s">
        <v>95</v>
      </c>
    </row>
    <row r="67" spans="1:17" ht="24">
      <c r="A67" s="5" t="s">
        <v>13</v>
      </c>
      <c r="B67" s="11">
        <f>(B48*10^(6))*($T$3*$W$5*B50)</f>
        <v>1.2156246596751195E-9</v>
      </c>
      <c r="C67" s="11">
        <f t="shared" ref="C67:L67" si="59">(C48*10^(6))*($T$3*$W$5*C50)</f>
        <v>3.3974010196861778E-10</v>
      </c>
      <c r="D67" s="11">
        <f t="shared" si="59"/>
        <v>6.897705181146724E-10</v>
      </c>
      <c r="E67" s="11">
        <f t="shared" si="59"/>
        <v>6.1619060843075447E-10</v>
      </c>
      <c r="F67" s="11">
        <f t="shared" si="59"/>
        <v>5.4383475123450817E-10</v>
      </c>
      <c r="G67" s="11">
        <f t="shared" si="59"/>
        <v>1.8334559726723812E-10</v>
      </c>
      <c r="H67" s="11">
        <f t="shared" si="59"/>
        <v>3.3656331614861101E-10</v>
      </c>
      <c r="I67" s="11">
        <f t="shared" si="59"/>
        <v>5.173693579842117E-10</v>
      </c>
      <c r="J67" s="11">
        <f t="shared" si="59"/>
        <v>9.4442836525114638E-10</v>
      </c>
      <c r="K67" s="11">
        <f t="shared" si="59"/>
        <v>2.9139459833076969E-9</v>
      </c>
      <c r="L67" s="11">
        <f t="shared" si="59"/>
        <v>2.7563745590706681E-9</v>
      </c>
      <c r="M67" s="27">
        <f t="shared" ref="M67:M73" si="60">AVERAGE(B67:L67)</f>
        <v>1.0051988925866587E-9</v>
      </c>
      <c r="N67" s="11">
        <f>MIN(B67:L67)</f>
        <v>1.8334559726723812E-10</v>
      </c>
      <c r="O67" s="11">
        <f>MAX(B67:L67)</f>
        <v>2.9139459833076969E-9</v>
      </c>
      <c r="P67" s="11">
        <f t="shared" ref="P67:P73" si="61">STDEV(B67:L67)</f>
        <v>9.4999539667863679E-10</v>
      </c>
      <c r="Q67" s="33">
        <f t="shared" ref="Q67:Q73" si="62">P67/SQRT(COUNT(B67:L67))</f>
        <v>2.8643438939526172E-10</v>
      </c>
    </row>
    <row r="68" spans="1:17" ht="24">
      <c r="A68" s="6" t="s">
        <v>55</v>
      </c>
      <c r="B68" s="9">
        <f>$T$2*(B43*10^(-9))/$T$8</f>
        <v>1.4258199156190434</v>
      </c>
      <c r="C68" s="9">
        <f t="shared" ref="C68:L68" si="63">$T$2*(C43*10^(-9))/$T$8</f>
        <v>2.2373348652786635</v>
      </c>
      <c r="D68" s="9">
        <f t="shared" si="63"/>
        <v>1.869105344662241</v>
      </c>
      <c r="E68" s="9">
        <f t="shared" si="63"/>
        <v>2.2573230173173271</v>
      </c>
      <c r="F68" s="9">
        <f t="shared" si="63"/>
        <v>1.5762756125982387</v>
      </c>
      <c r="G68" s="9">
        <f t="shared" si="63"/>
        <v>0.94854686925491638</v>
      </c>
      <c r="H68" s="9">
        <f t="shared" si="63"/>
        <v>0.63908540843990513</v>
      </c>
      <c r="I68" s="9">
        <f t="shared" si="63"/>
        <v>0.68390285501032599</v>
      </c>
      <c r="J68" s="9">
        <f t="shared" si="63"/>
        <v>1.9329032499783418</v>
      </c>
      <c r="K68" s="9">
        <f t="shared" si="63"/>
        <v>3.7667987181543996</v>
      </c>
      <c r="L68" s="9">
        <f t="shared" si="63"/>
        <v>5.4145439238857547</v>
      </c>
      <c r="M68" s="26">
        <f t="shared" si="60"/>
        <v>2.0683308891090144</v>
      </c>
      <c r="N68" s="24">
        <f>MIN(B68:L68)</f>
        <v>0.63908540843990513</v>
      </c>
      <c r="O68" s="24">
        <f>MAX(B68:L68)</f>
        <v>5.4145439238857547</v>
      </c>
      <c r="P68" s="24">
        <f t="shared" si="61"/>
        <v>1.416773979674512</v>
      </c>
      <c r="Q68" s="32">
        <f t="shared" si="62"/>
        <v>0.42717342757445126</v>
      </c>
    </row>
    <row r="69" spans="1:17" ht="24">
      <c r="A69" s="6" t="s">
        <v>56</v>
      </c>
      <c r="B69" s="9">
        <f>SQRT((B48*10^(6))*$T$2^(2)/($T$5*$T$8))</f>
        <v>9106.1321289201005</v>
      </c>
      <c r="C69" s="9">
        <f t="shared" ref="C69:L69" si="64">SQRT((C48*10^(6))*$T$2^(2)/($T$5*$T$8))</f>
        <v>6777.2949406864791</v>
      </c>
      <c r="D69" s="9">
        <f t="shared" si="64"/>
        <v>5165.027901733185</v>
      </c>
      <c r="E69" s="9">
        <f t="shared" si="64"/>
        <v>4869.1166887318132</v>
      </c>
      <c r="F69" s="9">
        <f t="shared" si="64"/>
        <v>4349.1126600005664</v>
      </c>
      <c r="G69" s="9">
        <f t="shared" si="64"/>
        <v>5586.2306667023995</v>
      </c>
      <c r="H69" s="9">
        <f t="shared" si="64"/>
        <v>4954.5566458119711</v>
      </c>
      <c r="I69" s="9">
        <f t="shared" si="64"/>
        <v>5244.9679613815306</v>
      </c>
      <c r="J69" s="9">
        <f t="shared" si="64"/>
        <v>8385.1160187423284</v>
      </c>
      <c r="K69" s="9">
        <f t="shared" si="64"/>
        <v>13249.257569343319</v>
      </c>
      <c r="L69" s="9">
        <f t="shared" si="64"/>
        <v>12992.012044254612</v>
      </c>
      <c r="M69" s="27">
        <f t="shared" si="60"/>
        <v>7334.438656937119</v>
      </c>
      <c r="N69" s="11">
        <f>MIN(B69:L69)</f>
        <v>4349.1126600005664</v>
      </c>
      <c r="O69" s="11">
        <f t="shared" ref="O69:O73" si="65">MAX(B69:L69)</f>
        <v>13249.257569343319</v>
      </c>
      <c r="P69" s="11">
        <f t="shared" si="61"/>
        <v>3229.9958713372112</v>
      </c>
      <c r="Q69" s="33">
        <f t="shared" si="62"/>
        <v>973.88039814750778</v>
      </c>
    </row>
    <row r="70" spans="1:17" ht="24">
      <c r="A70" s="5" t="s">
        <v>6</v>
      </c>
      <c r="B70" s="9">
        <f>SQRT(2*($T$3*$W$5*B50)/$T$8)</f>
        <v>174308.70006775946</v>
      </c>
      <c r="C70" s="9">
        <f t="shared" ref="C70:L70" si="66">SQRT(2*($T$3*$W$5*C50)/$T$8)</f>
        <v>123814.15021538937</v>
      </c>
      <c r="D70" s="9">
        <f t="shared" si="66"/>
        <v>231490.35610590436</v>
      </c>
      <c r="E70" s="9">
        <f t="shared" si="66"/>
        <v>232092.2377121023</v>
      </c>
      <c r="F70" s="9">
        <f t="shared" si="66"/>
        <v>244110.28681089878</v>
      </c>
      <c r="G70" s="9">
        <f t="shared" si="66"/>
        <v>110349.3143701341</v>
      </c>
      <c r="H70" s="9">
        <f t="shared" si="66"/>
        <v>168570.60749214358</v>
      </c>
      <c r="I70" s="9">
        <f t="shared" si="66"/>
        <v>197428.92144261621</v>
      </c>
      <c r="J70" s="9">
        <f t="shared" si="66"/>
        <v>166850.95475730652</v>
      </c>
      <c r="K70" s="9">
        <f t="shared" si="66"/>
        <v>185482.2973729053</v>
      </c>
      <c r="L70" s="9">
        <f t="shared" si="66"/>
        <v>183969.55711426551</v>
      </c>
      <c r="M70" s="27">
        <f t="shared" si="60"/>
        <v>183497.03486012958</v>
      </c>
      <c r="N70" s="11">
        <f>MIN(B70:L70)</f>
        <v>110349.3143701341</v>
      </c>
      <c r="O70" s="11">
        <f t="shared" si="65"/>
        <v>244110.28681089878</v>
      </c>
      <c r="P70" s="11">
        <f t="shared" si="61"/>
        <v>42466.495487810644</v>
      </c>
      <c r="Q70" s="33">
        <f t="shared" si="62"/>
        <v>12804.13015403532</v>
      </c>
    </row>
    <row r="71" spans="1:17" ht="24">
      <c r="A71" s="5" t="s">
        <v>8</v>
      </c>
      <c r="B71" s="9">
        <f>$T$6/B69</f>
        <v>32922.041297687094</v>
      </c>
      <c r="C71" s="9">
        <f t="shared" ref="C71:L71" si="67">$T$6/C69</f>
        <v>44234.825344658318</v>
      </c>
      <c r="D71" s="9">
        <f t="shared" si="67"/>
        <v>58042.756731266454</v>
      </c>
      <c r="E71" s="9">
        <f t="shared" si="67"/>
        <v>61570.193769290294</v>
      </c>
      <c r="F71" s="9">
        <f t="shared" si="67"/>
        <v>68931.867589390939</v>
      </c>
      <c r="G71" s="9">
        <f t="shared" si="67"/>
        <v>53666.322767060563</v>
      </c>
      <c r="H71" s="9">
        <f t="shared" si="67"/>
        <v>60508.432831000922</v>
      </c>
      <c r="I71" s="9">
        <f t="shared" si="67"/>
        <v>57158.110443736092</v>
      </c>
      <c r="J71" s="9">
        <f t="shared" si="67"/>
        <v>35752.92904002875</v>
      </c>
      <c r="K71" s="9">
        <f t="shared" si="67"/>
        <v>22627.113741389938</v>
      </c>
      <c r="L71" s="9">
        <f t="shared" si="67"/>
        <v>23075.137014137737</v>
      </c>
      <c r="M71" s="26">
        <f t="shared" si="60"/>
        <v>47135.430051786097</v>
      </c>
      <c r="N71" s="24">
        <f t="shared" ref="N71:N73" si="68">MIN(B71:L71)</f>
        <v>22627.113741389938</v>
      </c>
      <c r="O71" s="24">
        <f t="shared" si="65"/>
        <v>68931.867589390939</v>
      </c>
      <c r="P71" s="24">
        <f t="shared" si="61"/>
        <v>16260.108485760587</v>
      </c>
      <c r="Q71" s="32">
        <f t="shared" si="62"/>
        <v>4902.607172521979</v>
      </c>
    </row>
    <row r="72" spans="1:17" ht="24">
      <c r="A72" s="6" t="s">
        <v>12</v>
      </c>
      <c r="B72" s="9">
        <f>B70/B68</f>
        <v>122251.55376096738</v>
      </c>
      <c r="C72" s="9">
        <f t="shared" ref="C72:L72" si="69">C70/C68</f>
        <v>55340.017329041228</v>
      </c>
      <c r="D72" s="9">
        <f t="shared" si="69"/>
        <v>123850.88768109864</v>
      </c>
      <c r="E72" s="9">
        <f t="shared" si="69"/>
        <v>102817.46827174426</v>
      </c>
      <c r="F72" s="9">
        <f t="shared" si="69"/>
        <v>154865.23096587273</v>
      </c>
      <c r="G72" s="9">
        <f t="shared" si="69"/>
        <v>116335.12053738946</v>
      </c>
      <c r="H72" s="9">
        <f t="shared" si="69"/>
        <v>263768.51241784333</v>
      </c>
      <c r="I72" s="9">
        <f t="shared" si="69"/>
        <v>288679.77373721491</v>
      </c>
      <c r="J72" s="9">
        <f t="shared" si="69"/>
        <v>86321.420774255559</v>
      </c>
      <c r="K72" s="9">
        <f t="shared" si="69"/>
        <v>49241.361498547281</v>
      </c>
      <c r="L72" s="9">
        <f t="shared" si="69"/>
        <v>33976.925794747178</v>
      </c>
      <c r="M72" s="26">
        <f t="shared" si="60"/>
        <v>127040.75206988381</v>
      </c>
      <c r="N72" s="24">
        <f t="shared" si="68"/>
        <v>33976.925794747178</v>
      </c>
      <c r="O72" s="24">
        <f t="shared" si="65"/>
        <v>288679.77373721491</v>
      </c>
      <c r="P72" s="24">
        <f t="shared" si="61"/>
        <v>82366.87763821696</v>
      </c>
      <c r="Q72" s="32">
        <f t="shared" si="62"/>
        <v>24834.548025370928</v>
      </c>
    </row>
    <row r="73" spans="1:17" ht="24">
      <c r="A73" s="6" t="s">
        <v>11</v>
      </c>
      <c r="B73" s="9">
        <f>B70/B69/SQRT(2)</f>
        <v>13.535369583127448</v>
      </c>
      <c r="C73" s="9">
        <f t="shared" ref="C73:L73" si="70">C70/C69/SQRT(2)</f>
        <v>12.918107591652731</v>
      </c>
      <c r="D73" s="9">
        <f t="shared" si="70"/>
        <v>31.691677895262892</v>
      </c>
      <c r="E73" s="9">
        <f t="shared" si="70"/>
        <v>33.705085673297354</v>
      </c>
      <c r="F73" s="9">
        <f t="shared" si="70"/>
        <v>39.68902455641539</v>
      </c>
      <c r="G73" s="9">
        <f t="shared" si="70"/>
        <v>13.968049861512254</v>
      </c>
      <c r="H73" s="9">
        <f t="shared" si="70"/>
        <v>24.058140452826738</v>
      </c>
      <c r="I73" s="9">
        <f t="shared" si="70"/>
        <v>26.61662190928778</v>
      </c>
      <c r="J73" s="9">
        <f t="shared" si="70"/>
        <v>14.070340981881506</v>
      </c>
      <c r="K73" s="9">
        <f t="shared" si="70"/>
        <v>9.899104880103982</v>
      </c>
      <c r="L73" s="9">
        <f t="shared" si="70"/>
        <v>10.012777152936083</v>
      </c>
      <c r="M73" s="26">
        <f t="shared" si="60"/>
        <v>20.924027321664013</v>
      </c>
      <c r="N73" s="24">
        <f t="shared" si="68"/>
        <v>9.899104880103982</v>
      </c>
      <c r="O73" s="24">
        <f t="shared" si="65"/>
        <v>39.68902455641539</v>
      </c>
      <c r="P73" s="24">
        <f t="shared" si="61"/>
        <v>10.622151942045631</v>
      </c>
      <c r="Q73" s="32">
        <f t="shared" si="62"/>
        <v>3.2026993143554816</v>
      </c>
    </row>
    <row r="76" spans="1:17" ht="19" thickBot="1"/>
    <row r="77" spans="1:17" ht="19" thickTop="1">
      <c r="A77" s="38" t="s">
        <v>66</v>
      </c>
      <c r="B77" s="39">
        <v>38545</v>
      </c>
      <c r="C77" s="39">
        <v>38553</v>
      </c>
      <c r="D77" s="39">
        <v>38555</v>
      </c>
      <c r="E77" s="39">
        <v>38555</v>
      </c>
      <c r="F77" s="39">
        <v>38555</v>
      </c>
      <c r="G77" s="39">
        <v>38599</v>
      </c>
      <c r="H77" s="39">
        <v>38599</v>
      </c>
      <c r="I77" s="39">
        <v>38599</v>
      </c>
      <c r="J77" s="39">
        <v>38620</v>
      </c>
      <c r="K77" s="39">
        <v>39378</v>
      </c>
      <c r="L77" s="40">
        <v>39378</v>
      </c>
      <c r="M77" s="41" t="s">
        <v>93</v>
      </c>
      <c r="N77" s="39" t="s">
        <v>96</v>
      </c>
      <c r="O77" s="39" t="s">
        <v>97</v>
      </c>
      <c r="P77" s="39" t="s">
        <v>94</v>
      </c>
      <c r="Q77" s="42" t="s">
        <v>95</v>
      </c>
    </row>
    <row r="78" spans="1:17" ht="24">
      <c r="A78" s="6" t="s">
        <v>41</v>
      </c>
      <c r="B78" s="43">
        <v>2.85</v>
      </c>
      <c r="C78" s="43">
        <v>1.8049999999999999</v>
      </c>
      <c r="D78" s="43">
        <v>11.89</v>
      </c>
      <c r="E78" s="43">
        <v>0.76</v>
      </c>
      <c r="F78" s="43">
        <v>24.54</v>
      </c>
      <c r="G78" s="43">
        <v>0.89</v>
      </c>
      <c r="H78" s="43">
        <v>0.72799999999999998</v>
      </c>
      <c r="I78" s="43">
        <v>1.88</v>
      </c>
      <c r="J78" s="43">
        <v>0.33800000000000002</v>
      </c>
      <c r="K78" s="43">
        <v>0.41</v>
      </c>
      <c r="L78" s="43">
        <v>1.49</v>
      </c>
      <c r="M78" s="26">
        <f>AVERAGE(B78:L78)</f>
        <v>4.3255454545454546</v>
      </c>
      <c r="N78" s="24">
        <f>MIN(B78:L78)</f>
        <v>0.33800000000000002</v>
      </c>
      <c r="O78" s="24">
        <f>MAX(B78:L78)</f>
        <v>24.54</v>
      </c>
      <c r="P78" s="24">
        <f>STDEV(B78:L78)</f>
        <v>7.4638259272793386</v>
      </c>
      <c r="Q78" s="32">
        <f>P78/SQRT(COUNT(B78:L78))</f>
        <v>2.2504281910283668</v>
      </c>
    </row>
    <row r="79" spans="1:17" ht="24">
      <c r="A79" s="5" t="s">
        <v>67</v>
      </c>
      <c r="B79" s="37">
        <v>152.465</v>
      </c>
      <c r="C79" s="37">
        <v>95.411000000000001</v>
      </c>
      <c r="D79" s="37">
        <v>776.69200000000001</v>
      </c>
      <c r="E79" s="37">
        <v>10.013</v>
      </c>
      <c r="F79" s="37">
        <v>926.85199999999998</v>
      </c>
      <c r="G79" s="37">
        <v>69.17</v>
      </c>
      <c r="H79" s="37">
        <v>87.667000000000002</v>
      </c>
      <c r="I79" s="37">
        <v>1.847</v>
      </c>
      <c r="J79" s="37">
        <v>9.9060000000000006</v>
      </c>
      <c r="K79" s="37">
        <v>17.904</v>
      </c>
      <c r="L79" s="37">
        <v>47.103000000000002</v>
      </c>
      <c r="M79" s="26">
        <f>AVERAGE(B79:L79)</f>
        <v>199.54818181818183</v>
      </c>
      <c r="N79" s="24">
        <f>MIN(B79:L79)</f>
        <v>1.847</v>
      </c>
      <c r="O79" s="24">
        <f>MAX(B79:L79)</f>
        <v>926.85199999999998</v>
      </c>
      <c r="P79" s="24">
        <f>STDEV(B79:L79)</f>
        <v>327.39131332484016</v>
      </c>
      <c r="Q79" s="32">
        <f>P79/SQRT(COUNT(B79:L79))</f>
        <v>98.71219508365246</v>
      </c>
    </row>
    <row r="80" spans="1:17" ht="24">
      <c r="A80" s="5" t="s">
        <v>68</v>
      </c>
      <c r="B80" s="37">
        <v>53.496000000000002</v>
      </c>
      <c r="C80" s="37">
        <v>24.402000000000001</v>
      </c>
      <c r="D80" s="37">
        <v>65.322999999999993</v>
      </c>
      <c r="E80" s="37">
        <v>13.175000000000001</v>
      </c>
      <c r="F80" s="37">
        <v>37.768999999999998</v>
      </c>
      <c r="G80" s="37">
        <v>77.718999999999994</v>
      </c>
      <c r="H80" s="37">
        <v>120.422</v>
      </c>
      <c r="I80" s="37">
        <v>0.98299999999999998</v>
      </c>
      <c r="J80" s="37">
        <v>29.308</v>
      </c>
      <c r="K80" s="37">
        <v>43.668999999999997</v>
      </c>
      <c r="L80" s="37">
        <v>31.611999999999998</v>
      </c>
      <c r="M80" s="26">
        <f t="shared" ref="M80:M85" si="71">AVERAGE(B80:L80)</f>
        <v>45.26163636363637</v>
      </c>
      <c r="N80" s="24">
        <f t="shared" ref="N80:N85" si="72">MIN(B80:L80)</f>
        <v>0.98299999999999998</v>
      </c>
      <c r="O80" s="24">
        <f t="shared" ref="O80:O85" si="73">MAX(B80:L80)</f>
        <v>120.422</v>
      </c>
      <c r="P80" s="24">
        <f t="shared" ref="P80:P85" si="74">STDEV(B80:L80)</f>
        <v>33.313068379459509</v>
      </c>
      <c r="Q80" s="32">
        <f t="shared" ref="Q80:Q85" si="75">P80/SQRT(COUNT(B80:L80))</f>
        <v>10.044268039101818</v>
      </c>
    </row>
    <row r="81" spans="1:17" ht="24">
      <c r="A81" s="5" t="s">
        <v>69</v>
      </c>
      <c r="B81" s="37">
        <v>275.05200000000002</v>
      </c>
      <c r="C81" s="37">
        <v>199.61</v>
      </c>
      <c r="D81" s="37">
        <v>425.464</v>
      </c>
      <c r="E81" s="37">
        <v>504.39400000000001</v>
      </c>
      <c r="F81" s="37">
        <v>416.94499999999999</v>
      </c>
      <c r="G81" s="37">
        <v>269.64800000000002</v>
      </c>
      <c r="H81" s="37">
        <v>219.90899999999999</v>
      </c>
      <c r="I81" s="37">
        <v>357.43700000000001</v>
      </c>
      <c r="J81" s="37">
        <v>339.45600000000002</v>
      </c>
      <c r="K81" s="37">
        <v>360.92</v>
      </c>
      <c r="L81" s="37">
        <v>365.262</v>
      </c>
      <c r="M81" s="26">
        <f t="shared" si="71"/>
        <v>339.46336363636368</v>
      </c>
      <c r="N81" s="24">
        <f t="shared" si="72"/>
        <v>199.61</v>
      </c>
      <c r="O81" s="24">
        <f t="shared" si="73"/>
        <v>504.39400000000001</v>
      </c>
      <c r="P81" s="24">
        <f t="shared" si="74"/>
        <v>92.155224882013897</v>
      </c>
      <c r="Q81" s="32">
        <f t="shared" si="75"/>
        <v>27.78584576404219</v>
      </c>
    </row>
    <row r="82" spans="1:17" ht="24">
      <c r="A82" s="5" t="s">
        <v>70</v>
      </c>
      <c r="B82" s="37">
        <v>41.704000000000001</v>
      </c>
      <c r="C82" s="37">
        <v>56.595999999999997</v>
      </c>
      <c r="D82" s="37">
        <v>103.69199999999999</v>
      </c>
      <c r="E82" s="37">
        <v>137.54300000000001</v>
      </c>
      <c r="F82" s="37">
        <v>151.84800000000001</v>
      </c>
      <c r="G82" s="37">
        <v>60.112000000000002</v>
      </c>
      <c r="H82" s="37">
        <v>42.81</v>
      </c>
      <c r="I82" s="37">
        <v>63.817</v>
      </c>
      <c r="J82" s="37">
        <v>84.808000000000007</v>
      </c>
      <c r="K82" s="37">
        <v>121.73</v>
      </c>
      <c r="L82" s="37">
        <v>76.856999999999999</v>
      </c>
      <c r="M82" s="26">
        <f t="shared" si="71"/>
        <v>85.592454545454544</v>
      </c>
      <c r="N82" s="24">
        <f t="shared" si="72"/>
        <v>41.704000000000001</v>
      </c>
      <c r="O82" s="24">
        <f t="shared" si="73"/>
        <v>151.84800000000001</v>
      </c>
      <c r="P82" s="24">
        <f t="shared" si="74"/>
        <v>38.104919588850031</v>
      </c>
      <c r="Q82" s="32">
        <f t="shared" si="75"/>
        <v>11.489065540261736</v>
      </c>
    </row>
    <row r="83" spans="1:17" ht="24">
      <c r="A83" s="5" t="s">
        <v>71</v>
      </c>
      <c r="B83" s="37">
        <v>9.0586199999999995</v>
      </c>
      <c r="C83" s="37">
        <v>3.14581</v>
      </c>
      <c r="D83" s="37">
        <v>6.2083599999999999</v>
      </c>
      <c r="E83" s="37">
        <v>7.3817599999999999</v>
      </c>
      <c r="F83" s="37">
        <v>5.8596700000000004</v>
      </c>
      <c r="G83" s="37">
        <v>21.941189999999999</v>
      </c>
      <c r="H83" s="37">
        <v>9.8442699999999999</v>
      </c>
      <c r="I83" s="37">
        <v>18.805779999999999</v>
      </c>
      <c r="J83" s="37">
        <v>17.7531</v>
      </c>
      <c r="K83" s="37">
        <v>5.8831199999999999</v>
      </c>
      <c r="L83" s="37">
        <v>4.1940799999999996</v>
      </c>
      <c r="M83" s="26">
        <f t="shared" si="71"/>
        <v>10.006887272727274</v>
      </c>
      <c r="N83" s="24">
        <f t="shared" si="72"/>
        <v>3.14581</v>
      </c>
      <c r="O83" s="24">
        <f t="shared" si="73"/>
        <v>21.941189999999999</v>
      </c>
      <c r="P83" s="24">
        <f t="shared" si="74"/>
        <v>6.4588361306431805</v>
      </c>
      <c r="Q83" s="32">
        <f t="shared" si="75"/>
        <v>1.9474123661576654</v>
      </c>
    </row>
    <row r="84" spans="1:17" ht="24">
      <c r="A84" s="5" t="s">
        <v>72</v>
      </c>
      <c r="B84" s="37">
        <v>3.3491499999999998</v>
      </c>
      <c r="C84" s="37">
        <v>3.0693600000000001</v>
      </c>
      <c r="D84" s="37">
        <v>3.8737400000000002</v>
      </c>
      <c r="E84" s="37">
        <v>4.6393199999999997</v>
      </c>
      <c r="F84" s="37">
        <v>4.0042</v>
      </c>
      <c r="G84" s="37">
        <v>4.5914999999999999</v>
      </c>
      <c r="H84" s="37">
        <v>3.8769200000000001</v>
      </c>
      <c r="I84" s="37">
        <v>5.7053000000000003</v>
      </c>
      <c r="J84" s="37">
        <v>5.2811599999999999</v>
      </c>
      <c r="K84" s="37">
        <v>2.56142</v>
      </c>
      <c r="L84" s="37">
        <v>3.1974300000000002</v>
      </c>
      <c r="M84" s="26">
        <f t="shared" si="71"/>
        <v>4.013590909090909</v>
      </c>
      <c r="N84" s="24">
        <f t="shared" si="72"/>
        <v>2.56142</v>
      </c>
      <c r="O84" s="24">
        <f t="shared" si="73"/>
        <v>5.7053000000000003</v>
      </c>
      <c r="P84" s="24">
        <f t="shared" si="74"/>
        <v>0.9664587406863745</v>
      </c>
      <c r="Q84" s="32">
        <f t="shared" si="75"/>
        <v>0.29139827438328098</v>
      </c>
    </row>
    <row r="85" spans="1:17" ht="24">
      <c r="A85" s="5" t="s">
        <v>73</v>
      </c>
      <c r="B85" s="37">
        <v>3.0695600000000001</v>
      </c>
      <c r="C85" s="37">
        <v>2.0609099999999998</v>
      </c>
      <c r="D85" s="37">
        <v>3.0365000000000002</v>
      </c>
      <c r="E85" s="37">
        <v>3.6247799999999999</v>
      </c>
      <c r="F85" s="37">
        <v>3.1134499999999998</v>
      </c>
      <c r="G85" s="37">
        <v>4.41547</v>
      </c>
      <c r="H85" s="37">
        <v>3.5405799999999998</v>
      </c>
      <c r="I85" s="37">
        <v>5.3274900000000001</v>
      </c>
      <c r="J85" s="37">
        <v>4.8292700000000002</v>
      </c>
      <c r="K85" s="37">
        <v>2.2194199999999999</v>
      </c>
      <c r="L85" s="37">
        <v>2.3267899999999999</v>
      </c>
      <c r="M85" s="26">
        <f t="shared" si="71"/>
        <v>3.4149290909090908</v>
      </c>
      <c r="N85" s="24">
        <f t="shared" si="72"/>
        <v>2.0609099999999998</v>
      </c>
      <c r="O85" s="24">
        <f t="shared" si="73"/>
        <v>5.3274900000000001</v>
      </c>
      <c r="P85" s="24">
        <f t="shared" si="74"/>
        <v>1.073274964680109</v>
      </c>
      <c r="Q85" s="32">
        <f t="shared" si="75"/>
        <v>0.3236045777023514</v>
      </c>
    </row>
    <row r="86" spans="1:17" ht="24">
      <c r="A86" s="5" t="s">
        <v>50</v>
      </c>
      <c r="B86" s="37">
        <f>$T$8*((B81*1000)^2 - (B82*1000)^2)/$T$2</f>
        <v>771.6427939140541</v>
      </c>
      <c r="C86" s="37">
        <f t="shared" ref="C86:L86" si="76">$T$8*((C81*1000)^2 - (C82*1000)^2)/$T$2</f>
        <v>382.52094646642678</v>
      </c>
      <c r="D86" s="37">
        <f t="shared" si="76"/>
        <v>1777.5398533441253</v>
      </c>
      <c r="E86" s="37">
        <f t="shared" si="76"/>
        <v>2458.4958944579771</v>
      </c>
      <c r="F86" s="37">
        <f t="shared" si="76"/>
        <v>1574.1511386201871</v>
      </c>
      <c r="G86" s="37">
        <f t="shared" si="76"/>
        <v>721.34661029201914</v>
      </c>
      <c r="H86" s="37">
        <f t="shared" si="76"/>
        <v>485.73003983706946</v>
      </c>
      <c r="I86" s="37">
        <f t="shared" si="76"/>
        <v>1291.2699484958382</v>
      </c>
      <c r="J86" s="37">
        <f t="shared" si="76"/>
        <v>1127.8824100070237</v>
      </c>
      <c r="K86" s="37">
        <f t="shared" si="76"/>
        <v>1205.2099297247562</v>
      </c>
      <c r="L86" s="37">
        <f t="shared" si="76"/>
        <v>1331.1571715246048</v>
      </c>
      <c r="M86" s="26">
        <f t="shared" ref="M86:M87" si="77">AVERAGE(B86:L86)</f>
        <v>1193.3587942440074</v>
      </c>
      <c r="N86" s="24">
        <f t="shared" ref="N86:N87" si="78">MIN(B86:L86)</f>
        <v>382.52094646642678</v>
      </c>
      <c r="O86" s="24">
        <f t="shared" ref="O86:O87" si="79">MAX(B86:L86)</f>
        <v>2458.4958944579771</v>
      </c>
      <c r="P86" s="24">
        <f t="shared" ref="P86:P87" si="80">STDEV(B86:L86)</f>
        <v>606.52132288017651</v>
      </c>
      <c r="Q86" s="32">
        <f t="shared" ref="Q86:Q87" si="81">P86/SQRT(COUNT(B86:L86))</f>
        <v>182.87305957668593</v>
      </c>
    </row>
    <row r="87" spans="1:17" ht="24">
      <c r="A87" s="5" t="s">
        <v>42</v>
      </c>
      <c r="B87" s="45">
        <f>1000000*1000000*$T$8*ABS((B10*(B81*1000)^2) -(B48* (B82*1000)^2))</f>
        <v>7.7434747370331983E-4</v>
      </c>
      <c r="C87" s="45">
        <f t="shared" ref="C87:L87" si="82">1000000*1000000*$T$8*ABS((C10*(C81*1000)^2) -(C48* (C82*1000)^2))</f>
        <v>3.485483043568055E-4</v>
      </c>
      <c r="D87" s="45">
        <f t="shared" si="82"/>
        <v>8.5454399381876408E-4</v>
      </c>
      <c r="E87" s="45">
        <f t="shared" si="82"/>
        <v>1.1500701048371852E-3</v>
      </c>
      <c r="F87" s="45">
        <f t="shared" si="82"/>
        <v>7.0926799393571723E-4</v>
      </c>
      <c r="G87" s="45">
        <f t="shared" si="82"/>
        <v>2.0922292761391738E-4</v>
      </c>
      <c r="H87" s="45">
        <f t="shared" si="82"/>
        <v>1.7134975985541755E-4</v>
      </c>
      <c r="I87" s="45">
        <f t="shared" si="82"/>
        <v>4.3983506433957454E-4</v>
      </c>
      <c r="J87" s="45">
        <f t="shared" si="82"/>
        <v>1.3751882567295938E-3</v>
      </c>
      <c r="K87" s="45">
        <f t="shared" si="82"/>
        <v>4.8007806080120887E-3</v>
      </c>
      <c r="L87" s="45">
        <f t="shared" si="82"/>
        <v>3.600749706724889E-3</v>
      </c>
      <c r="M87" s="27">
        <f t="shared" si="77"/>
        <v>1.3121731085388429E-3</v>
      </c>
      <c r="N87" s="44">
        <f t="shared" si="78"/>
        <v>1.7134975985541755E-4</v>
      </c>
      <c r="O87" s="44">
        <f t="shared" si="79"/>
        <v>4.8007806080120887E-3</v>
      </c>
      <c r="P87" s="44">
        <f t="shared" si="80"/>
        <v>1.5002637188938676E-3</v>
      </c>
      <c r="Q87" s="33">
        <f t="shared" si="81"/>
        <v>4.52346531104926E-4</v>
      </c>
    </row>
    <row r="88" spans="1:17" ht="24">
      <c r="A88" s="6" t="s">
        <v>43</v>
      </c>
      <c r="B88" s="45">
        <f>B87/B78</f>
        <v>2.7170086796607715E-4</v>
      </c>
      <c r="C88" s="45">
        <f t="shared" ref="C88:L88" si="83">C87/C78</f>
        <v>1.9310155366028005E-4</v>
      </c>
      <c r="D88" s="45">
        <f t="shared" si="83"/>
        <v>7.1870815291737931E-5</v>
      </c>
      <c r="E88" s="45">
        <f t="shared" si="83"/>
        <v>1.5132501379436646E-3</v>
      </c>
      <c r="F88" s="45">
        <f t="shared" si="83"/>
        <v>2.8902526240249275E-5</v>
      </c>
      <c r="G88" s="45">
        <f t="shared" si="83"/>
        <v>2.35081941139233E-4</v>
      </c>
      <c r="H88" s="45">
        <f t="shared" si="83"/>
        <v>2.3537054925194719E-4</v>
      </c>
      <c r="I88" s="45">
        <f t="shared" si="83"/>
        <v>2.3395482145722053E-4</v>
      </c>
      <c r="J88" s="45">
        <f t="shared" si="83"/>
        <v>4.0686043098508689E-3</v>
      </c>
      <c r="K88" s="45">
        <f t="shared" si="83"/>
        <v>1.1709220995151436E-2</v>
      </c>
      <c r="L88" s="45">
        <f t="shared" si="83"/>
        <v>2.4166105414261002E-3</v>
      </c>
      <c r="M88" s="27">
        <f t="shared" ref="M88" si="84">AVERAGE(B88:L88)</f>
        <v>1.9070608235798924E-3</v>
      </c>
      <c r="N88" s="44">
        <f t="shared" ref="N88" si="85">MIN(B88:L88)</f>
        <v>2.8902526240249275E-5</v>
      </c>
      <c r="O88" s="44">
        <f t="shared" ref="O88" si="86">MAX(B88:L88)</f>
        <v>1.1709220995151436E-2</v>
      </c>
      <c r="P88" s="44">
        <f t="shared" ref="P88" si="87">STDEV(B88:L88)</f>
        <v>3.4937966027513176E-3</v>
      </c>
      <c r="Q88" s="33">
        <f t="shared" ref="Q88" si="88">P88/SQRT(COUNT(B88:L88))</f>
        <v>1.0534193113767726E-3</v>
      </c>
    </row>
    <row r="89" spans="1:17" ht="24">
      <c r="A89" s="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26"/>
      <c r="N89" s="24"/>
      <c r="O89" s="24"/>
      <c r="P89" s="24"/>
      <c r="Q89" s="32"/>
    </row>
    <row r="90" spans="1:17" ht="24">
      <c r="A90" s="5" t="s">
        <v>76</v>
      </c>
      <c r="B90" s="11">
        <f>0.000000001/($T$4*1000)</f>
        <v>7.9577471545947677E-7</v>
      </c>
      <c r="C90" s="11">
        <f>0.000000001/($T$4*1000)</f>
        <v>7.9577471545947677E-7</v>
      </c>
      <c r="D90" s="11">
        <f t="shared" ref="D90:L90" si="89">0.000000001/($T$4*1000)</f>
        <v>7.9577471545947677E-7</v>
      </c>
      <c r="E90" s="11">
        <f t="shared" si="89"/>
        <v>7.9577471545947677E-7</v>
      </c>
      <c r="F90" s="11">
        <f t="shared" si="89"/>
        <v>7.9577471545947677E-7</v>
      </c>
      <c r="G90" s="11">
        <f t="shared" si="89"/>
        <v>7.9577471545947677E-7</v>
      </c>
      <c r="H90" s="11">
        <f t="shared" si="89"/>
        <v>7.9577471545947677E-7</v>
      </c>
      <c r="I90" s="11">
        <f t="shared" si="89"/>
        <v>7.9577471545947677E-7</v>
      </c>
      <c r="J90" s="11">
        <f t="shared" si="89"/>
        <v>7.9577471545947677E-7</v>
      </c>
      <c r="K90" s="11">
        <f t="shared" si="89"/>
        <v>7.9577471545947677E-7</v>
      </c>
      <c r="L90" s="11">
        <f t="shared" si="89"/>
        <v>7.9577471545947677E-7</v>
      </c>
    </row>
    <row r="91" spans="1:17" ht="24">
      <c r="A91" s="5" t="s">
        <v>74</v>
      </c>
      <c r="B91" s="43">
        <f>B43-B5</f>
        <v>11.187109999999999</v>
      </c>
      <c r="C91" s="43">
        <f t="shared" ref="C91:L91" si="90">C43-C5</f>
        <v>15.649039999999999</v>
      </c>
      <c r="D91" s="43">
        <f t="shared" si="90"/>
        <v>13.46116</v>
      </c>
      <c r="E91" s="43">
        <f t="shared" si="90"/>
        <v>17.485370000000003</v>
      </c>
      <c r="F91" s="43">
        <f t="shared" si="90"/>
        <v>10.042479999999999</v>
      </c>
      <c r="G91" s="43">
        <f t="shared" si="90"/>
        <v>8.9863700000000009</v>
      </c>
      <c r="H91" s="43">
        <f t="shared" si="90"/>
        <v>5.0354900000000002</v>
      </c>
      <c r="I91" s="43">
        <f t="shared" si="90"/>
        <v>5.7369700000000003</v>
      </c>
      <c r="J91" s="43">
        <f t="shared" si="90"/>
        <v>17.044739999999997</v>
      </c>
      <c r="K91" s="43">
        <f t="shared" si="90"/>
        <v>23.106490000000001</v>
      </c>
      <c r="L91" s="43">
        <f t="shared" si="90"/>
        <v>38.350290000000001</v>
      </c>
      <c r="M91" s="26">
        <f t="shared" ref="M91" si="91">AVERAGE(B91:L91)</f>
        <v>15.098682727272728</v>
      </c>
      <c r="N91" s="24">
        <f t="shared" ref="N91" si="92">MIN(B91:L91)</f>
        <v>5.0354900000000002</v>
      </c>
      <c r="O91" s="24">
        <f t="shared" ref="O91" si="93">MAX(B91:L91)</f>
        <v>38.350290000000001</v>
      </c>
      <c r="P91" s="24">
        <f t="shared" ref="P91" si="94">STDEV(B91:L91)</f>
        <v>9.4040707892328133</v>
      </c>
      <c r="Q91" s="32">
        <f t="shared" ref="Q91" si="95">P91/SQRT(COUNT(B91:L91))</f>
        <v>2.8354340281660564</v>
      </c>
    </row>
    <row r="92" spans="1:17" ht="24">
      <c r="A92" s="5" t="s">
        <v>75</v>
      </c>
      <c r="B92" s="11">
        <f>B90*B91/B79*1000000</f>
        <v>5.8389920815032074E-2</v>
      </c>
      <c r="C92" s="11">
        <f t="shared" ref="C92:L92" si="96">C90*C91/C79*1000000</f>
        <v>0.13052069838083627</v>
      </c>
      <c r="D92" s="11">
        <f t="shared" si="96"/>
        <v>1.3791890181377549E-2</v>
      </c>
      <c r="E92" s="11">
        <f t="shared" si="96"/>
        <v>1.3896350081347921</v>
      </c>
      <c r="F92" s="11">
        <f t="shared" si="96"/>
        <v>8.6222521659417972E-3</v>
      </c>
      <c r="G92" s="11">
        <f t="shared" si="96"/>
        <v>0.10338479152470116</v>
      </c>
      <c r="H92" s="11">
        <f t="shared" si="96"/>
        <v>4.5708369420067313E-2</v>
      </c>
      <c r="I92" s="11">
        <f t="shared" si="96"/>
        <v>2.4717572654843289</v>
      </c>
      <c r="J92" s="11">
        <f t="shared" si="96"/>
        <v>1.3692482458692468</v>
      </c>
      <c r="K92" s="11">
        <f t="shared" si="96"/>
        <v>1.0270085179299175</v>
      </c>
      <c r="L92" s="11">
        <f t="shared" si="96"/>
        <v>0.64790334187925225</v>
      </c>
      <c r="M92" s="27">
        <f t="shared" ref="M92" si="97">AVERAGE(B92:L92)</f>
        <v>0.66054275470777213</v>
      </c>
      <c r="N92" s="44">
        <f t="shared" ref="N92" si="98">MIN(B92:L92)</f>
        <v>8.6222521659417972E-3</v>
      </c>
      <c r="O92" s="44">
        <f t="shared" ref="O92" si="99">MAX(B92:L92)</f>
        <v>2.4717572654843289</v>
      </c>
      <c r="P92" s="44">
        <f t="shared" ref="P92" si="100">STDEV(B92:L92)</f>
        <v>0.81388197282262376</v>
      </c>
      <c r="Q92" s="33">
        <f t="shared" ref="Q92" si="101">P92/SQRT(COUNT(B92:L92))</f>
        <v>0.24539464795335217</v>
      </c>
    </row>
    <row r="93" spans="1:17" ht="24">
      <c r="A93" s="6" t="s">
        <v>78</v>
      </c>
      <c r="B93" s="11">
        <v>2.6130000000000001E-4</v>
      </c>
      <c r="C93" s="11">
        <v>1.635E-3</v>
      </c>
      <c r="D93" s="11">
        <v>1.7849999999999999E-3</v>
      </c>
      <c r="E93" s="11">
        <v>1.067E-3</v>
      </c>
      <c r="F93" s="11">
        <v>6.4210000000000005E-4</v>
      </c>
      <c r="G93" s="11">
        <v>3.1189999999999998E-5</v>
      </c>
      <c r="H93" s="11">
        <v>3.0909999999999998E-4</v>
      </c>
      <c r="I93" s="11">
        <v>2.2039999999999999E-4</v>
      </c>
      <c r="J93" s="11">
        <v>6.5240000000000006E-5</v>
      </c>
      <c r="K93" s="11">
        <v>2.8279999999999999E-4</v>
      </c>
      <c r="L93" s="11">
        <v>3.0059999999999999E-4</v>
      </c>
      <c r="M93" s="27">
        <f t="shared" ref="M93:M94" si="102">AVERAGE(B93:L93)</f>
        <v>5.9997545454545454E-4</v>
      </c>
      <c r="N93" s="44">
        <f t="shared" ref="N93:N94" si="103">MIN(B93:L93)</f>
        <v>3.1189999999999998E-5</v>
      </c>
      <c r="O93" s="44">
        <f t="shared" ref="O93:O94" si="104">MAX(B93:L93)</f>
        <v>1.7849999999999999E-3</v>
      </c>
      <c r="P93" s="44">
        <f t="shared" ref="P93:P94" si="105">STDEV(B93:L93)</f>
        <v>6.1955769199266062E-4</v>
      </c>
      <c r="Q93" s="33">
        <f t="shared" ref="Q93:Q94" si="106">P93/SQRT(COUNT(B93:L93))</f>
        <v>1.8680367275620305E-4</v>
      </c>
    </row>
    <row r="94" spans="1:17" ht="24">
      <c r="A94" s="6" t="s">
        <v>79</v>
      </c>
      <c r="B94" s="11">
        <v>4025</v>
      </c>
      <c r="C94" s="11">
        <v>9378</v>
      </c>
      <c r="D94" s="11">
        <v>1974</v>
      </c>
      <c r="E94" s="11">
        <v>3976</v>
      </c>
      <c r="F94" s="11">
        <v>6515</v>
      </c>
      <c r="G94" s="11">
        <v>3831</v>
      </c>
      <c r="H94" s="11">
        <v>4737</v>
      </c>
      <c r="I94" s="11">
        <v>4762</v>
      </c>
      <c r="J94" s="11">
        <v>6436</v>
      </c>
      <c r="K94" s="11">
        <v>59.08</v>
      </c>
      <c r="L94" s="11">
        <v>301.60000000000002</v>
      </c>
      <c r="M94" s="27">
        <f t="shared" ref="M94:M95" si="107">AVERAGE(B94:L94)</f>
        <v>4181.3345454545452</v>
      </c>
      <c r="N94" s="44">
        <f t="shared" ref="N94:N95" si="108">MIN(B94:L94)</f>
        <v>59.08</v>
      </c>
      <c r="O94" s="44">
        <f t="shared" ref="O94:O95" si="109">MAX(B94:L94)</f>
        <v>9378</v>
      </c>
      <c r="P94" s="44">
        <f t="shared" ref="P94:P95" si="110">STDEV(B94:L94)</f>
        <v>2743.8615966420884</v>
      </c>
      <c r="Q94" s="33">
        <f t="shared" ref="Q94:Q95" si="111">P94/SQRT(COUNT(B94:L94))</f>
        <v>827.3053993388454</v>
      </c>
    </row>
    <row r="95" spans="1:17" ht="24">
      <c r="A95" s="6" t="s">
        <v>77</v>
      </c>
      <c r="B95" s="11">
        <v>10.61</v>
      </c>
      <c r="C95" s="11">
        <v>83.15</v>
      </c>
      <c r="D95" s="11">
        <v>3.3759999999999999</v>
      </c>
      <c r="E95" s="11">
        <v>24.41</v>
      </c>
      <c r="F95" s="11">
        <v>28.87</v>
      </c>
      <c r="G95" s="11">
        <v>2.4409999999999998</v>
      </c>
      <c r="H95" s="11">
        <v>20.6</v>
      </c>
      <c r="I95" s="11">
        <v>22.72</v>
      </c>
      <c r="J95" s="11">
        <v>23.15</v>
      </c>
      <c r="K95" s="11">
        <v>6.9099999999999995E-2</v>
      </c>
      <c r="L95" s="11">
        <v>0.96220000000000006</v>
      </c>
      <c r="M95" s="27">
        <f t="shared" si="107"/>
        <v>20.032572727272726</v>
      </c>
      <c r="N95" s="44">
        <f t="shared" si="108"/>
        <v>6.9099999999999995E-2</v>
      </c>
      <c r="O95" s="44">
        <f t="shared" si="109"/>
        <v>83.15</v>
      </c>
      <c r="P95" s="44">
        <f t="shared" si="110"/>
        <v>23.529222872508605</v>
      </c>
      <c r="Q95" s="33">
        <f t="shared" si="111"/>
        <v>7.0943276251599396</v>
      </c>
    </row>
    <row r="96" spans="1:17" ht="24">
      <c r="A96" s="5" t="s">
        <v>44</v>
      </c>
      <c r="B96" s="11">
        <v>2.1800000000000001E-3</v>
      </c>
      <c r="C96" s="11">
        <v>3.558E-3</v>
      </c>
      <c r="D96" s="11">
        <v>9.1040000000000001E-4</v>
      </c>
      <c r="E96" s="11">
        <v>0.1129</v>
      </c>
      <c r="F96" s="11">
        <v>6.2489999999999996E-4</v>
      </c>
      <c r="G96" s="11">
        <v>4.0840000000000001E-4</v>
      </c>
      <c r="H96" s="11">
        <v>4.1580000000000002E-4</v>
      </c>
      <c r="I96" s="11">
        <v>3.9039999999999998E-2</v>
      </c>
      <c r="J96" s="11">
        <v>3.7450000000000001E-3</v>
      </c>
      <c r="K96" s="11">
        <v>5.5909999999999998E-4</v>
      </c>
      <c r="L96" s="11">
        <v>1.3270000000000001E-3</v>
      </c>
      <c r="M96" s="27">
        <f>AVERAGE(B96:L96)</f>
        <v>1.5060781818181818E-2</v>
      </c>
      <c r="N96" s="44">
        <f t="shared" ref="N95:N96" si="112">MIN(B96:L96)</f>
        <v>4.0840000000000001E-4</v>
      </c>
      <c r="O96" s="44">
        <f t="shared" ref="O95:O96" si="113">MAX(B96:L96)</f>
        <v>0.1129</v>
      </c>
      <c r="P96" s="44">
        <f t="shared" ref="P95:P96" si="114">STDEV(B96:L96)</f>
        <v>3.4366411334988647E-2</v>
      </c>
      <c r="Q96" s="33">
        <f t="shared" ref="Q95:Q96" si="115">P96/SQRT(COUNT(B96:L96))</f>
        <v>1.0361862889924923E-2</v>
      </c>
    </row>
    <row r="97" spans="1:17" ht="24">
      <c r="A97" s="5" t="s">
        <v>45</v>
      </c>
      <c r="B97" s="11">
        <v>2.0710000000000002</v>
      </c>
      <c r="C97" s="11">
        <v>1.8140000000000001</v>
      </c>
      <c r="D97" s="11">
        <v>2.5910000000000002</v>
      </c>
      <c r="E97" s="11">
        <v>31.47</v>
      </c>
      <c r="F97" s="11">
        <v>3.4079999999999999</v>
      </c>
      <c r="G97" s="11">
        <v>0.91549999999999998</v>
      </c>
      <c r="H97" s="11">
        <v>0.43230000000000002</v>
      </c>
      <c r="I97" s="11">
        <v>39.36</v>
      </c>
      <c r="J97" s="11">
        <v>6.7839999999999998</v>
      </c>
      <c r="K97" s="11">
        <v>3.68</v>
      </c>
      <c r="L97" s="11">
        <v>15.79</v>
      </c>
      <c r="M97" s="27">
        <f t="shared" ref="M97:M98" si="116">AVERAGE(B97:L97)</f>
        <v>9.8468909090909111</v>
      </c>
      <c r="N97" s="44">
        <f t="shared" ref="N97:N98" si="117">MIN(B97:L97)</f>
        <v>0.43230000000000002</v>
      </c>
      <c r="O97" s="44">
        <f t="shared" ref="O97:O98" si="118">MAX(B97:L97)</f>
        <v>39.36</v>
      </c>
      <c r="P97" s="44">
        <f t="shared" ref="P97:P98" si="119">STDEV(B97:L97)</f>
        <v>13.449231186982734</v>
      </c>
      <c r="Q97" s="33">
        <f t="shared" ref="Q97:Q98" si="120">P97/SQRT(COUNT(B97:L97))</f>
        <v>4.0550957787243558</v>
      </c>
    </row>
    <row r="98" spans="1:17" ht="24">
      <c r="A98" s="5" t="s">
        <v>46</v>
      </c>
      <c r="B98" s="11">
        <v>0.4</v>
      </c>
      <c r="C98" s="11">
        <v>0.51900000000000002</v>
      </c>
      <c r="D98" s="11">
        <v>0.72850000000000004</v>
      </c>
      <c r="E98" s="11">
        <v>5.694</v>
      </c>
      <c r="F98" s="11">
        <v>1.036</v>
      </c>
      <c r="G98" s="11">
        <v>0.1799</v>
      </c>
      <c r="H98" s="11">
        <v>0.1353</v>
      </c>
      <c r="I98" s="11">
        <v>11.86</v>
      </c>
      <c r="J98" s="11">
        <v>0.98460000000000003</v>
      </c>
      <c r="K98" s="11">
        <v>0.52849999999999997</v>
      </c>
      <c r="L98" s="11">
        <v>2.9430000000000001</v>
      </c>
      <c r="M98" s="27">
        <f t="shared" si="116"/>
        <v>2.2735272727272733</v>
      </c>
      <c r="N98" s="44">
        <f t="shared" si="117"/>
        <v>0.1353</v>
      </c>
      <c r="O98" s="44">
        <f t="shared" si="118"/>
        <v>11.86</v>
      </c>
      <c r="P98" s="44">
        <f t="shared" si="119"/>
        <v>3.5807413324871451</v>
      </c>
      <c r="Q98" s="33">
        <f t="shared" si="120"/>
        <v>1.0796341337433721</v>
      </c>
    </row>
    <row r="99" spans="1:17" ht="24">
      <c r="A99" s="5"/>
    </row>
    <row r="100" spans="1:17" ht="24">
      <c r="A100" s="6" t="s">
        <v>47</v>
      </c>
      <c r="B100" s="11">
        <v>1.742E-8</v>
      </c>
      <c r="C100" s="11">
        <v>2.7189999999999999E-7</v>
      </c>
      <c r="D100" s="11">
        <v>1.9049999999999999E-7</v>
      </c>
      <c r="E100" s="11">
        <v>1.8059999999999999E-6</v>
      </c>
      <c r="F100" s="11">
        <v>2.2259999999999999E-7</v>
      </c>
      <c r="G100" s="11">
        <v>3.1089999999999999E-9</v>
      </c>
      <c r="H100" s="11">
        <v>1.1199999999999999E-8</v>
      </c>
      <c r="I100" s="11">
        <v>1.2929999999999999E-6</v>
      </c>
      <c r="J100" s="11">
        <v>8.6390000000000005E-9</v>
      </c>
      <c r="K100" s="11">
        <v>8.9229999999999999E-9</v>
      </c>
      <c r="L100" s="11">
        <v>2.2359999999999999E-7</v>
      </c>
      <c r="M100" s="27">
        <f t="shared" ref="M100:M101" si="121">AVERAGE(B100:L100)</f>
        <v>3.6880827272727272E-7</v>
      </c>
      <c r="N100" s="44">
        <f t="shared" ref="N100:N101" si="122">MIN(B100:L100)</f>
        <v>3.1089999999999999E-9</v>
      </c>
      <c r="O100" s="44">
        <f t="shared" ref="O100:O101" si="123">MAX(B100:L100)</f>
        <v>1.8059999999999999E-6</v>
      </c>
      <c r="P100" s="44">
        <f t="shared" ref="P100:P101" si="124">STDEV(B100:L100)</f>
        <v>6.0395616001314061E-7</v>
      </c>
      <c r="Q100" s="33">
        <f t="shared" ref="Q100:Q101" si="125">P100/SQRT(COUNT(B100:L100))</f>
        <v>1.8209963387158498E-7</v>
      </c>
    </row>
    <row r="101" spans="1:17" ht="24">
      <c r="A101" s="6" t="s">
        <v>48</v>
      </c>
      <c r="B101" s="11">
        <v>1.837</v>
      </c>
      <c r="C101" s="11">
        <v>10.050000000000001</v>
      </c>
      <c r="D101" s="11">
        <v>2.835</v>
      </c>
      <c r="E101" s="11">
        <v>20.260000000000002</v>
      </c>
      <c r="F101" s="11">
        <v>5.46</v>
      </c>
      <c r="G101" s="11">
        <v>1.73</v>
      </c>
      <c r="H101" s="11">
        <v>0.55159999999999998</v>
      </c>
      <c r="I101" s="11">
        <v>64.459999999999994</v>
      </c>
      <c r="J101" s="11">
        <v>24.32</v>
      </c>
      <c r="K101" s="11">
        <v>4.802E-2</v>
      </c>
      <c r="L101" s="11">
        <v>2.214</v>
      </c>
      <c r="M101" s="27">
        <f t="shared" si="121"/>
        <v>12.160510909090908</v>
      </c>
      <c r="N101" s="44">
        <f t="shared" si="122"/>
        <v>4.802E-2</v>
      </c>
      <c r="O101" s="44">
        <f t="shared" si="123"/>
        <v>64.459999999999994</v>
      </c>
      <c r="P101" s="44">
        <f t="shared" si="124"/>
        <v>19.18538630627252</v>
      </c>
      <c r="Q101" s="33">
        <f t="shared" si="125"/>
        <v>5.7846116214480414</v>
      </c>
    </row>
    <row r="102" spans="1:17" ht="24">
      <c r="A102" s="6" t="s">
        <v>49</v>
      </c>
      <c r="B102" s="11">
        <v>5.3179999999999998E-3</v>
      </c>
      <c r="C102" s="11">
        <v>5.432E-2</v>
      </c>
      <c r="D102" s="11">
        <v>2.5869999999999999E-3</v>
      </c>
      <c r="E102" s="11">
        <v>0.18410000000000001</v>
      </c>
      <c r="F102" s="11">
        <v>2.835E-2</v>
      </c>
      <c r="G102" s="11">
        <v>5.3839999999999997E-4</v>
      </c>
      <c r="H102" s="11">
        <v>3.2550000000000001E-3</v>
      </c>
      <c r="I102" s="11">
        <v>0.29520000000000002</v>
      </c>
      <c r="J102" s="11">
        <v>3.8300000000000001E-2</v>
      </c>
      <c r="K102" s="11">
        <v>4.5840000000000002E-5</v>
      </c>
      <c r="L102" s="11">
        <v>4.0980000000000001E-3</v>
      </c>
      <c r="M102" s="27">
        <f t="shared" ref="M102" si="126">AVERAGE(B102:L102)</f>
        <v>5.6010203636363644E-2</v>
      </c>
      <c r="N102" s="44">
        <f t="shared" ref="N102" si="127">MIN(B102:L102)</f>
        <v>4.5840000000000002E-5</v>
      </c>
      <c r="O102" s="44">
        <f t="shared" ref="O102" si="128">MAX(B102:L102)</f>
        <v>0.29520000000000002</v>
      </c>
      <c r="P102" s="44">
        <f t="shared" ref="P102" si="129">STDEV(B102:L102)</f>
        <v>9.5818164860640834E-2</v>
      </c>
      <c r="Q102" s="33">
        <f t="shared" ref="Q102" si="130">P102/SQRT(COUNT(B102:L102))</f>
        <v>2.8890263722105642E-2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1"/>
  <sheetViews>
    <sheetView workbookViewId="0">
      <selection activeCell="B17" sqref="B17:L17"/>
    </sheetView>
  </sheetViews>
  <sheetFormatPr baseColWidth="10" defaultRowHeight="18"/>
  <cols>
    <col min="1" max="1" width="20.33203125" style="2" customWidth="1"/>
    <col min="2" max="12" width="18" style="2" customWidth="1"/>
    <col min="13" max="16384" width="10.83203125" style="2"/>
  </cols>
  <sheetData>
    <row r="1" spans="1:12">
      <c r="A1" s="1" t="s">
        <v>91</v>
      </c>
      <c r="B1" s="12">
        <v>38545</v>
      </c>
      <c r="C1" s="12">
        <v>38553</v>
      </c>
      <c r="D1" s="12">
        <v>38555</v>
      </c>
      <c r="E1" s="12">
        <v>38555</v>
      </c>
      <c r="F1" s="12">
        <v>38555</v>
      </c>
      <c r="G1" s="12">
        <v>38599</v>
      </c>
      <c r="H1" s="12">
        <v>38599</v>
      </c>
      <c r="I1" s="12">
        <v>38599</v>
      </c>
      <c r="J1" s="12">
        <v>38620</v>
      </c>
      <c r="K1" s="12">
        <v>39378</v>
      </c>
      <c r="L1" s="12">
        <v>39378</v>
      </c>
    </row>
    <row r="2" spans="1:12" ht="24">
      <c r="A2" s="5" t="s">
        <v>58</v>
      </c>
      <c r="B2" s="9">
        <v>0.15507000000000001</v>
      </c>
      <c r="C2" s="9">
        <v>0.94957999999999998</v>
      </c>
      <c r="D2" s="9">
        <v>0.26427</v>
      </c>
      <c r="E2" s="9">
        <v>0.26691999999999999</v>
      </c>
      <c r="F2" s="9">
        <v>0.28193000000000001</v>
      </c>
      <c r="G2" s="9">
        <v>2.9510000000000002E-2</v>
      </c>
      <c r="H2" s="9">
        <v>5.0700000000000002E-2</v>
      </c>
      <c r="I2" s="9">
        <v>8.2290000000000002E-2</v>
      </c>
      <c r="J2" s="9">
        <v>0.68942999999999999</v>
      </c>
      <c r="K2" s="9">
        <v>1.94275</v>
      </c>
      <c r="L2" s="9">
        <v>0.24412</v>
      </c>
    </row>
    <row r="3" spans="1:12" ht="24">
      <c r="A3" s="5" t="s">
        <v>59</v>
      </c>
      <c r="B3" s="9">
        <v>0.4521</v>
      </c>
      <c r="C3" s="9">
        <v>0.67515000000000003</v>
      </c>
      <c r="D3" s="9">
        <v>0.17130000000000001</v>
      </c>
      <c r="E3" s="9">
        <v>0.17272999999999999</v>
      </c>
      <c r="F3" s="9">
        <v>0.3004</v>
      </c>
      <c r="G3" s="9">
        <v>2.716E-2</v>
      </c>
      <c r="H3" s="9">
        <v>9.2149999999999996E-2</v>
      </c>
      <c r="I3" s="9">
        <v>2.8160000000000001E-2</v>
      </c>
      <c r="J3" s="9">
        <v>0.40203</v>
      </c>
      <c r="K3" s="9">
        <v>4.3633100000000002</v>
      </c>
      <c r="L3" s="9">
        <v>0.54535999999999996</v>
      </c>
    </row>
    <row r="4" spans="1:12" ht="24">
      <c r="A4" s="5" t="s">
        <v>60</v>
      </c>
      <c r="B4" s="9">
        <v>0.10394</v>
      </c>
      <c r="C4" s="9">
        <v>1.63304</v>
      </c>
      <c r="D4" s="9">
        <v>0.31830999999999998</v>
      </c>
      <c r="E4" s="9">
        <v>0.33449000000000001</v>
      </c>
      <c r="F4" s="9">
        <v>0.27611999999999998</v>
      </c>
      <c r="G4" s="9">
        <v>6.9540000000000005E-2</v>
      </c>
      <c r="H4" s="9">
        <v>4.6370000000000001E-2</v>
      </c>
      <c r="I4" s="9">
        <v>8.3830000000000002E-2</v>
      </c>
      <c r="J4" s="9">
        <v>0.63322999999999996</v>
      </c>
      <c r="K4" s="9">
        <v>3.26641</v>
      </c>
      <c r="L4" s="9">
        <v>0.74282999999999999</v>
      </c>
    </row>
    <row r="5" spans="1:12" ht="24">
      <c r="A5" s="5" t="s">
        <v>61</v>
      </c>
      <c r="B5" s="9">
        <v>0.11755</v>
      </c>
      <c r="C5" s="9">
        <v>0.85116000000000003</v>
      </c>
      <c r="D5" s="9">
        <v>0.31433</v>
      </c>
      <c r="E5" s="9">
        <v>0.32929999999999998</v>
      </c>
      <c r="F5" s="9">
        <v>0.16819999999999999</v>
      </c>
      <c r="G5" s="9">
        <v>3.7780000000000001E-2</v>
      </c>
      <c r="H5" s="9">
        <v>9.9809999999999996E-2</v>
      </c>
      <c r="I5" s="9">
        <v>3.4049999999999997E-2</v>
      </c>
      <c r="J5" s="9">
        <v>0.84228000000000003</v>
      </c>
      <c r="K5" s="9">
        <v>0.96541999999999994</v>
      </c>
      <c r="L5" s="9">
        <v>7.5439999999999993E-2</v>
      </c>
    </row>
    <row r="6" spans="1:12" ht="24">
      <c r="A6" s="5" t="s">
        <v>62</v>
      </c>
      <c r="B6" s="9">
        <v>6.319</v>
      </c>
      <c r="C6" s="9">
        <v>9.2870000000000008</v>
      </c>
      <c r="D6" s="9">
        <v>4.5720000000000001</v>
      </c>
      <c r="E6" s="9">
        <v>4.8490000000000002</v>
      </c>
      <c r="F6" s="9">
        <v>3.0790000000000002</v>
      </c>
      <c r="G6" s="9">
        <v>2.1629999999999998</v>
      </c>
      <c r="H6" s="9">
        <v>2.4790000000000001</v>
      </c>
      <c r="I6" s="9">
        <v>2.0249999999999999</v>
      </c>
      <c r="J6" s="9">
        <v>1.0820000000000001</v>
      </c>
      <c r="K6" s="9">
        <v>9.9939999999999998</v>
      </c>
      <c r="L6" s="9">
        <v>2.508</v>
      </c>
    </row>
    <row r="7" spans="1:12" ht="24">
      <c r="A7" s="5" t="s">
        <v>63</v>
      </c>
      <c r="B7" s="9">
        <v>16.702000000000002</v>
      </c>
      <c r="C7" s="9">
        <v>11.448</v>
      </c>
      <c r="D7" s="9">
        <v>0.73899999999999999</v>
      </c>
      <c r="E7" s="9">
        <v>0.79400000000000004</v>
      </c>
      <c r="F7" s="9">
        <v>2.4380000000000002</v>
      </c>
      <c r="G7" s="9">
        <v>2.1040000000000001</v>
      </c>
      <c r="H7" s="9">
        <v>1.3520000000000001</v>
      </c>
      <c r="I7" s="9">
        <v>1.4550000000000001</v>
      </c>
      <c r="J7" s="9">
        <v>0.48299999999999998</v>
      </c>
      <c r="K7" s="9">
        <v>35.209000000000003</v>
      </c>
      <c r="L7" s="9">
        <v>4.75</v>
      </c>
    </row>
    <row r="8" spans="1:12" ht="24">
      <c r="A8" s="5" t="s">
        <v>64</v>
      </c>
      <c r="B8" s="9">
        <v>2.5289999999999999</v>
      </c>
      <c r="C8" s="9">
        <v>24.195</v>
      </c>
      <c r="D8" s="9">
        <v>2.2469999999999999</v>
      </c>
      <c r="E8" s="9">
        <v>2.3410000000000002</v>
      </c>
      <c r="F8" s="9">
        <v>3.444</v>
      </c>
      <c r="G8" s="9">
        <v>2.0649999999999999</v>
      </c>
      <c r="H8" s="9">
        <v>1.9159999999999999</v>
      </c>
      <c r="I8" s="9">
        <v>3.2090000000000001</v>
      </c>
      <c r="J8" s="9">
        <v>0.436</v>
      </c>
      <c r="K8" s="9">
        <v>18.384</v>
      </c>
      <c r="L8" s="9">
        <v>18.555</v>
      </c>
    </row>
    <row r="9" spans="1:12" ht="24">
      <c r="A9" s="5" t="s">
        <v>65</v>
      </c>
      <c r="B9" s="9">
        <v>6.4260000000000002</v>
      </c>
      <c r="C9" s="9">
        <v>10.724</v>
      </c>
      <c r="D9" s="9">
        <v>4.4290000000000003</v>
      </c>
      <c r="E9" s="9">
        <v>4.6920000000000002</v>
      </c>
      <c r="F9" s="9">
        <v>2.9350000000000001</v>
      </c>
      <c r="G9" s="9">
        <v>2.1739999999999999</v>
      </c>
      <c r="H9" s="9">
        <v>2.4020000000000001</v>
      </c>
      <c r="I9" s="9">
        <v>2.0089999999999999</v>
      </c>
      <c r="J9" s="9">
        <v>1.077</v>
      </c>
      <c r="K9" s="9">
        <v>8.1</v>
      </c>
      <c r="L9" s="9">
        <v>3.3170000000000002</v>
      </c>
    </row>
    <row r="10" spans="1:12" ht="24">
      <c r="A10" s="5" t="s">
        <v>80</v>
      </c>
      <c r="B10" s="9">
        <v>0.60207999999999995</v>
      </c>
      <c r="C10" s="9">
        <v>0.79247999999999996</v>
      </c>
      <c r="D10" s="9">
        <v>9.6629999999999994E-2</v>
      </c>
      <c r="E10" s="9">
        <v>7.5499999999999998E-2</v>
      </c>
      <c r="F10" s="9">
        <v>0.13496</v>
      </c>
      <c r="G10" s="9">
        <v>9.5170000000000005E-2</v>
      </c>
      <c r="H10" s="9">
        <v>0.19349</v>
      </c>
      <c r="I10" s="9">
        <v>9.9809999999999996E-2</v>
      </c>
      <c r="J10" s="9">
        <v>0.48493000000000003</v>
      </c>
      <c r="K10" s="9">
        <v>1.17835</v>
      </c>
      <c r="L10" s="9">
        <v>0.18887999999999999</v>
      </c>
    </row>
    <row r="11" spans="1:12" ht="24">
      <c r="A11" s="5" t="s">
        <v>81</v>
      </c>
      <c r="B11" s="9">
        <v>1.0706199999999999</v>
      </c>
      <c r="C11" s="9">
        <v>0.67835999999999996</v>
      </c>
      <c r="D11" s="9">
        <v>0.70508000000000004</v>
      </c>
      <c r="E11" s="9">
        <v>0.74434999999999996</v>
      </c>
      <c r="F11" s="9">
        <v>0.88914000000000004</v>
      </c>
      <c r="G11" s="9">
        <v>0.74777000000000005</v>
      </c>
      <c r="H11" s="9">
        <v>0.25906000000000001</v>
      </c>
      <c r="I11" s="9">
        <v>0.59175</v>
      </c>
      <c r="J11" s="9">
        <v>0.41691</v>
      </c>
      <c r="K11" s="9">
        <v>0.67283999999999999</v>
      </c>
      <c r="L11" s="9">
        <v>0.62780999999999998</v>
      </c>
    </row>
    <row r="12" spans="1:12" ht="24">
      <c r="A12" s="5" t="s">
        <v>82</v>
      </c>
      <c r="B12" s="9">
        <v>2.6202000000000001</v>
      </c>
      <c r="C12" s="9">
        <v>3.9728500000000002</v>
      </c>
      <c r="D12" s="9">
        <v>1.15368</v>
      </c>
      <c r="E12" s="9">
        <v>1.1886300000000001</v>
      </c>
      <c r="F12" s="9">
        <v>1.7203900000000001</v>
      </c>
      <c r="G12" s="9">
        <v>0.18362999999999999</v>
      </c>
      <c r="H12" s="9">
        <v>0.27050000000000002</v>
      </c>
      <c r="I12" s="9">
        <v>0.20061999999999999</v>
      </c>
      <c r="J12" s="9">
        <v>0.89241999999999999</v>
      </c>
      <c r="K12" s="9">
        <v>4.1334999999999997</v>
      </c>
      <c r="L12" s="9">
        <v>1.4269499999999999</v>
      </c>
    </row>
    <row r="13" spans="1:12" ht="24">
      <c r="A13" s="6" t="s">
        <v>83</v>
      </c>
      <c r="B13" s="9">
        <v>0.20122000000000001</v>
      </c>
      <c r="C13" s="9">
        <v>5.3400000000000003E-2</v>
      </c>
      <c r="D13" s="9">
        <v>4.795E-2</v>
      </c>
      <c r="E13" s="9">
        <v>5.0619999999999998E-2</v>
      </c>
      <c r="F13" s="9">
        <v>4.1099999999999998E-2</v>
      </c>
      <c r="G13" s="9">
        <v>1.83928</v>
      </c>
      <c r="H13" s="9">
        <v>0.31007000000000001</v>
      </c>
      <c r="I13" s="9">
        <v>0.51415999999999995</v>
      </c>
      <c r="J13" s="9">
        <v>9.4142499999999991</v>
      </c>
      <c r="K13" s="9">
        <v>0.19978000000000001</v>
      </c>
      <c r="L13" s="9">
        <v>1.2930000000000001E-2</v>
      </c>
    </row>
    <row r="14" spans="1:12" ht="24">
      <c r="A14" s="6" t="s">
        <v>84</v>
      </c>
      <c r="B14" s="9">
        <v>0.76346000000000003</v>
      </c>
      <c r="C14" s="9">
        <v>0.20185</v>
      </c>
      <c r="D14" s="9">
        <v>0.2712</v>
      </c>
      <c r="E14" s="9">
        <v>0.26393</v>
      </c>
      <c r="F14" s="9">
        <v>0.13750999999999999</v>
      </c>
      <c r="G14" s="9">
        <v>0.78195000000000003</v>
      </c>
      <c r="H14" s="9">
        <v>0.25672</v>
      </c>
      <c r="I14" s="9">
        <v>0.16879</v>
      </c>
      <c r="J14" s="9">
        <v>22.271270000000001</v>
      </c>
      <c r="K14" s="9">
        <v>0.64012999999999998</v>
      </c>
      <c r="L14" s="9">
        <v>4.478E-2</v>
      </c>
    </row>
    <row r="15" spans="1:12" ht="24">
      <c r="A15" s="6" t="s">
        <v>85</v>
      </c>
      <c r="B15" s="9">
        <v>0.77675000000000005</v>
      </c>
      <c r="C15" s="9">
        <v>0.21615000000000001</v>
      </c>
      <c r="D15" s="9">
        <v>0.30680000000000002</v>
      </c>
      <c r="E15" s="9">
        <v>0.30159999999999998</v>
      </c>
      <c r="F15" s="9">
        <v>0.16109000000000001</v>
      </c>
      <c r="G15" s="9">
        <v>2.5136400000000001</v>
      </c>
      <c r="H15" s="9">
        <v>0.54652000000000001</v>
      </c>
      <c r="I15" s="9">
        <v>0.62290999999999996</v>
      </c>
      <c r="J15" s="9">
        <v>31.681989999999999</v>
      </c>
      <c r="K15" s="9">
        <v>0.83159000000000005</v>
      </c>
      <c r="L15" s="9">
        <v>3.7069999999999999E-2</v>
      </c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1" t="s">
        <v>92</v>
      </c>
      <c r="B17" s="12">
        <v>38545</v>
      </c>
      <c r="C17" s="12">
        <v>38553</v>
      </c>
      <c r="D17" s="12">
        <v>38555</v>
      </c>
      <c r="E17" s="12">
        <v>38555</v>
      </c>
      <c r="F17" s="12">
        <v>38555</v>
      </c>
      <c r="G17" s="12">
        <v>38599</v>
      </c>
      <c r="H17" s="12">
        <v>38599</v>
      </c>
      <c r="I17" s="12">
        <v>38599</v>
      </c>
      <c r="J17" s="12">
        <v>38620</v>
      </c>
      <c r="K17" s="12">
        <v>39378</v>
      </c>
      <c r="L17" s="12">
        <v>39378</v>
      </c>
    </row>
    <row r="18" spans="1:12" ht="24">
      <c r="A18" s="5" t="s">
        <v>58</v>
      </c>
      <c r="B18" s="9">
        <v>2.34598</v>
      </c>
      <c r="C18" s="9">
        <v>3.9130400000000001</v>
      </c>
      <c r="D18" s="9">
        <v>1.6501699999999999</v>
      </c>
      <c r="E18" s="9">
        <v>1.0145900000000001</v>
      </c>
      <c r="F18" s="9">
        <v>1.74997</v>
      </c>
      <c r="G18" s="9">
        <v>4.727E-2</v>
      </c>
      <c r="H18" s="9">
        <v>2.21807</v>
      </c>
      <c r="I18" s="9">
        <v>1.1606399999999999</v>
      </c>
      <c r="J18" s="9">
        <v>7.1105099999999997</v>
      </c>
      <c r="K18" s="9">
        <v>3.6428199999999999</v>
      </c>
      <c r="L18" s="9">
        <v>4.3864299999999998</v>
      </c>
    </row>
    <row r="19" spans="1:12" ht="24">
      <c r="A19" s="5" t="s">
        <v>59</v>
      </c>
      <c r="B19" s="9">
        <v>1.0517799999999999</v>
      </c>
      <c r="C19" s="9">
        <v>7.2183200000000003</v>
      </c>
      <c r="D19" s="9">
        <v>1.3749100000000001</v>
      </c>
      <c r="E19" s="9">
        <v>1.6279699999999999</v>
      </c>
      <c r="F19" s="9">
        <v>1.2311799999999999</v>
      </c>
      <c r="G19" s="9">
        <v>0.78386999999999996</v>
      </c>
      <c r="H19" s="9">
        <v>3.0973600000000001</v>
      </c>
      <c r="I19" s="9">
        <v>2.0579800000000001</v>
      </c>
      <c r="J19" s="9">
        <v>6.3013300000000001</v>
      </c>
      <c r="K19" s="9">
        <v>7.4785300000000001</v>
      </c>
      <c r="L19" s="9">
        <v>5.1416899999999996</v>
      </c>
    </row>
    <row r="20" spans="1:12" ht="24">
      <c r="A20" s="5" t="s">
        <v>60</v>
      </c>
      <c r="B20" s="9">
        <v>3.3987699999999998</v>
      </c>
      <c r="C20" s="9">
        <v>6.29739</v>
      </c>
      <c r="D20" s="9">
        <v>1.54356</v>
      </c>
      <c r="E20" s="9">
        <v>2.0887199999999999</v>
      </c>
      <c r="F20" s="9">
        <v>0.97885</v>
      </c>
      <c r="G20" s="9">
        <v>3.35114</v>
      </c>
      <c r="H20" s="9">
        <v>2.0460099999999999</v>
      </c>
      <c r="I20" s="9">
        <v>2.3873899999999999</v>
      </c>
      <c r="J20" s="9">
        <v>12.629479999999999</v>
      </c>
      <c r="K20" s="9">
        <v>8.1435099999999991</v>
      </c>
      <c r="L20" s="9">
        <v>9.5540699999999994</v>
      </c>
    </row>
    <row r="21" spans="1:12" ht="24">
      <c r="A21" s="5" t="s">
        <v>61</v>
      </c>
      <c r="B21" s="9">
        <v>2.0463</v>
      </c>
      <c r="C21" s="9">
        <v>1.17187</v>
      </c>
      <c r="D21" s="9">
        <v>1.6016900000000001</v>
      </c>
      <c r="E21" s="9">
        <v>1.4313800000000001</v>
      </c>
      <c r="F21" s="9">
        <v>1.42449</v>
      </c>
      <c r="G21" s="9">
        <v>0.58253999999999995</v>
      </c>
      <c r="H21" s="9">
        <v>2.05667</v>
      </c>
      <c r="I21" s="9">
        <v>1.95058</v>
      </c>
      <c r="J21" s="9">
        <v>6.6651400000000001</v>
      </c>
      <c r="K21" s="9">
        <v>8.9357699999999998</v>
      </c>
      <c r="L21" s="9">
        <v>1.35009</v>
      </c>
    </row>
    <row r="22" spans="1:12" ht="24">
      <c r="A22" s="5" t="s">
        <v>62</v>
      </c>
      <c r="B22" s="9">
        <v>8.2170000000000005</v>
      </c>
      <c r="C22" s="9">
        <v>20.12</v>
      </c>
      <c r="D22" s="9">
        <v>22.657</v>
      </c>
      <c r="E22" s="9">
        <v>15.090999999999999</v>
      </c>
      <c r="F22" s="9">
        <v>25.681000000000001</v>
      </c>
      <c r="G22" s="9">
        <v>5.3220000000000001</v>
      </c>
      <c r="H22" s="9">
        <v>62.86</v>
      </c>
      <c r="I22" s="9">
        <v>40.633000000000003</v>
      </c>
      <c r="J22" s="9">
        <v>26.687000000000001</v>
      </c>
      <c r="K22" s="9">
        <v>27.204999999999998</v>
      </c>
      <c r="L22" s="9">
        <v>17.085999999999999</v>
      </c>
    </row>
    <row r="23" spans="1:12" ht="24">
      <c r="A23" s="5" t="s">
        <v>63</v>
      </c>
      <c r="B23" s="9">
        <v>11.715999999999999</v>
      </c>
      <c r="C23" s="9">
        <v>24.542999999999999</v>
      </c>
      <c r="D23" s="9">
        <v>21.181999999999999</v>
      </c>
      <c r="E23" s="9">
        <v>11.907</v>
      </c>
      <c r="F23" s="9">
        <v>18.917000000000002</v>
      </c>
      <c r="G23" s="9">
        <v>6.7610000000000001</v>
      </c>
      <c r="H23" s="9">
        <v>79.198999999999998</v>
      </c>
      <c r="I23" s="9">
        <v>56.972999999999999</v>
      </c>
      <c r="J23" s="9">
        <v>18.693000000000001</v>
      </c>
      <c r="K23" s="9">
        <v>19.956</v>
      </c>
      <c r="L23" s="9">
        <v>13.792999999999999</v>
      </c>
    </row>
    <row r="24" spans="1:12" ht="24">
      <c r="A24" s="5" t="s">
        <v>64</v>
      </c>
      <c r="B24" s="9">
        <v>12.377000000000001</v>
      </c>
      <c r="C24" s="9">
        <v>23.353000000000002</v>
      </c>
      <c r="D24" s="9">
        <v>11.067</v>
      </c>
      <c r="E24" s="9">
        <v>17.774000000000001</v>
      </c>
      <c r="F24" s="9">
        <v>23.645</v>
      </c>
      <c r="G24" s="9">
        <v>19.599</v>
      </c>
      <c r="H24" s="9">
        <v>46.399000000000001</v>
      </c>
      <c r="I24" s="9">
        <v>63.820999999999998</v>
      </c>
      <c r="J24" s="9">
        <v>28.556999999999999</v>
      </c>
      <c r="K24" s="9">
        <v>25.341000000000001</v>
      </c>
      <c r="L24" s="9">
        <v>16.001999999999999</v>
      </c>
    </row>
    <row r="25" spans="1:12" ht="24">
      <c r="A25" s="5" t="s">
        <v>65</v>
      </c>
      <c r="B25" s="9">
        <v>8.3610000000000007</v>
      </c>
      <c r="C25" s="9">
        <v>23.602</v>
      </c>
      <c r="D25" s="9">
        <v>23.405999999999999</v>
      </c>
      <c r="E25" s="9">
        <v>18.795999999999999</v>
      </c>
      <c r="F25" s="9">
        <v>26.158999999999999</v>
      </c>
      <c r="G25" s="9">
        <v>1.4970000000000001</v>
      </c>
      <c r="H25" s="9">
        <v>63.465000000000003</v>
      </c>
      <c r="I25" s="9">
        <v>29.373999999999999</v>
      </c>
      <c r="J25" s="9">
        <v>17.436</v>
      </c>
      <c r="K25" s="9">
        <v>26.187999999999999</v>
      </c>
      <c r="L25" s="9">
        <v>18.318999999999999</v>
      </c>
    </row>
    <row r="26" spans="1:12" ht="24">
      <c r="A26" s="5" t="s">
        <v>80</v>
      </c>
      <c r="B26" s="9">
        <v>2.5912299999999999</v>
      </c>
      <c r="C26" s="9">
        <v>2.1738300000000002</v>
      </c>
      <c r="D26" s="9">
        <v>1.27546</v>
      </c>
      <c r="E26" s="9">
        <v>0.61580999999999997</v>
      </c>
      <c r="F26" s="9">
        <v>1.4753000000000001</v>
      </c>
      <c r="G26" s="9">
        <v>2.3246600000000002</v>
      </c>
      <c r="H26" s="9">
        <v>2.7661899999999999</v>
      </c>
      <c r="I26" s="9">
        <v>6.4478900000000001</v>
      </c>
      <c r="J26" s="9">
        <v>6.5572400000000002</v>
      </c>
      <c r="K26" s="9">
        <v>12.17235</v>
      </c>
      <c r="L26" s="9">
        <v>4.8546199999999997</v>
      </c>
    </row>
    <row r="27" spans="1:12" ht="24">
      <c r="A27" s="5" t="s">
        <v>81</v>
      </c>
      <c r="B27" s="9">
        <v>1.83097</v>
      </c>
      <c r="C27" s="9">
        <v>1.55633</v>
      </c>
      <c r="D27" s="9">
        <v>2.4116900000000001</v>
      </c>
      <c r="E27" s="9">
        <v>1.3442499999999999</v>
      </c>
      <c r="F27" s="9">
        <v>2.8596300000000001</v>
      </c>
      <c r="G27" s="9">
        <v>1.4085399999999999</v>
      </c>
      <c r="H27" s="9">
        <v>4.3618300000000003</v>
      </c>
      <c r="I27" s="9">
        <v>2.38618</v>
      </c>
      <c r="J27" s="9">
        <v>3.1763499999999998</v>
      </c>
      <c r="K27" s="9">
        <v>3.0780500000000002</v>
      </c>
      <c r="L27" s="9">
        <v>2.1704400000000001</v>
      </c>
    </row>
    <row r="28" spans="1:12" ht="24">
      <c r="A28" s="5" t="s">
        <v>82</v>
      </c>
      <c r="B28" s="9">
        <v>12.01369</v>
      </c>
      <c r="C28" s="9">
        <v>13.203580000000001</v>
      </c>
      <c r="D28" s="9">
        <v>17.621600000000001</v>
      </c>
      <c r="E28" s="9">
        <v>8.0895700000000001</v>
      </c>
      <c r="F28" s="9">
        <v>41.343670000000003</v>
      </c>
      <c r="G28" s="9">
        <v>5.3193999999999999</v>
      </c>
      <c r="H28" s="9">
        <v>49.000680000000003</v>
      </c>
      <c r="I28" s="9">
        <v>49.346649999999997</v>
      </c>
      <c r="J28" s="9">
        <v>28.739319999999999</v>
      </c>
      <c r="K28" s="9">
        <v>27.469609999999999</v>
      </c>
      <c r="L28" s="9">
        <v>13.3954</v>
      </c>
    </row>
    <row r="29" spans="1:12" ht="24">
      <c r="A29" s="6" t="s">
        <v>83</v>
      </c>
      <c r="B29" s="9">
        <v>0.89200000000000002</v>
      </c>
      <c r="C29" s="9">
        <v>7.2569999999999996E-2</v>
      </c>
      <c r="D29" s="9">
        <v>0.16224</v>
      </c>
      <c r="E29" s="9">
        <v>0.10094</v>
      </c>
      <c r="F29" s="9">
        <v>0.23266999999999999</v>
      </c>
      <c r="G29" s="9">
        <v>0.45823000000000003</v>
      </c>
      <c r="H29" s="9">
        <v>2.9313699999999998</v>
      </c>
      <c r="I29" s="9">
        <v>4.9036499999999998</v>
      </c>
      <c r="J29" s="9">
        <v>2.1417799999999998</v>
      </c>
      <c r="K29" s="9">
        <v>2.1504500000000002</v>
      </c>
      <c r="L29" s="9">
        <v>8.2970000000000002E-2</v>
      </c>
    </row>
    <row r="30" spans="1:12" ht="24">
      <c r="A30" s="6" t="s">
        <v>84</v>
      </c>
      <c r="B30" s="9">
        <v>5.0905399999999998</v>
      </c>
      <c r="C30" s="9">
        <v>0.27357999999999999</v>
      </c>
      <c r="D30" s="9">
        <v>0.95786000000000004</v>
      </c>
      <c r="E30" s="9">
        <v>0.45323999999999998</v>
      </c>
      <c r="F30" s="9">
        <v>1.2847900000000001</v>
      </c>
      <c r="G30" s="9">
        <v>0.86570000000000003</v>
      </c>
      <c r="H30" s="9">
        <v>23.203040000000001</v>
      </c>
      <c r="I30" s="9">
        <v>19.75468</v>
      </c>
      <c r="J30" s="9">
        <v>11.00484</v>
      </c>
      <c r="K30" s="9">
        <v>6.1849699999999999</v>
      </c>
      <c r="L30" s="9">
        <v>0.18421999999999999</v>
      </c>
    </row>
    <row r="31" spans="1:12" ht="24">
      <c r="A31" s="6" t="s">
        <v>85</v>
      </c>
      <c r="B31" s="9">
        <v>5.9338100000000003</v>
      </c>
      <c r="C31" s="9">
        <v>0.30940000000000001</v>
      </c>
      <c r="D31" s="9">
        <v>1.10795</v>
      </c>
      <c r="E31" s="9">
        <v>0.55249999999999999</v>
      </c>
      <c r="F31" s="9">
        <v>1.47387</v>
      </c>
      <c r="G31" s="9">
        <v>1.3191299999999999</v>
      </c>
      <c r="H31" s="9">
        <v>25.933710000000001</v>
      </c>
      <c r="I31" s="9">
        <v>24.075050000000001</v>
      </c>
      <c r="J31" s="9">
        <v>13.09797</v>
      </c>
      <c r="K31" s="9">
        <v>8.3223699999999994</v>
      </c>
      <c r="L31" s="9">
        <v>0.23896000000000001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1"/>
  <sheetViews>
    <sheetView workbookViewId="0">
      <selection activeCell="A36" sqref="A36"/>
    </sheetView>
  </sheetViews>
  <sheetFormatPr baseColWidth="10" defaultRowHeight="18"/>
  <cols>
    <col min="1" max="1" width="21.5" style="2" customWidth="1"/>
    <col min="2" max="12" width="18" style="2" customWidth="1"/>
    <col min="13" max="16384" width="10.83203125" style="2"/>
  </cols>
  <sheetData>
    <row r="1" spans="1:12">
      <c r="A1" s="1" t="s">
        <v>86</v>
      </c>
      <c r="B1" s="12">
        <v>38545</v>
      </c>
      <c r="C1" s="12">
        <v>38553</v>
      </c>
      <c r="D1" s="12">
        <v>38555</v>
      </c>
      <c r="E1" s="12">
        <v>38555</v>
      </c>
      <c r="F1" s="12">
        <v>38555</v>
      </c>
      <c r="G1" s="12">
        <v>38599</v>
      </c>
      <c r="H1" s="12">
        <v>38599</v>
      </c>
      <c r="I1" s="12">
        <v>38599</v>
      </c>
      <c r="J1" s="12">
        <v>38620</v>
      </c>
      <c r="K1" s="12">
        <v>39378</v>
      </c>
      <c r="L1" s="12">
        <v>39378</v>
      </c>
    </row>
    <row r="2" spans="1:12" ht="24">
      <c r="A2" s="5" t="s">
        <v>58</v>
      </c>
      <c r="B2" s="9">
        <v>2.8799999999999999E-2</v>
      </c>
      <c r="C2" s="9">
        <v>0.20244999999999999</v>
      </c>
      <c r="D2" s="9">
        <v>6.8229999999999999E-2</v>
      </c>
      <c r="E2" s="9">
        <v>7.4029999999999999E-2</v>
      </c>
      <c r="F2" s="9">
        <v>6.1519999999999998E-2</v>
      </c>
      <c r="G2" s="9">
        <v>8.8999999999999999E-3</v>
      </c>
      <c r="H2" s="9">
        <v>1.3089999999999999E-2</v>
      </c>
      <c r="I2" s="9">
        <v>2.1989999999999999E-2</v>
      </c>
      <c r="J2" s="9">
        <v>0.10056</v>
      </c>
      <c r="K2" s="9">
        <v>0.34893000000000002</v>
      </c>
      <c r="L2" s="9">
        <v>4.6129999999999997E-2</v>
      </c>
    </row>
    <row r="3" spans="1:12" ht="24">
      <c r="A3" s="5" t="s">
        <v>59</v>
      </c>
      <c r="B3" s="9">
        <v>8.3949999999999997E-2</v>
      </c>
      <c r="C3" s="9">
        <v>0.14394000000000001</v>
      </c>
      <c r="D3" s="9">
        <v>4.4229999999999998E-2</v>
      </c>
      <c r="E3" s="9">
        <v>4.7910000000000001E-2</v>
      </c>
      <c r="F3" s="9">
        <v>6.5549999999999997E-2</v>
      </c>
      <c r="G3" s="9">
        <v>8.1899999999999994E-3</v>
      </c>
      <c r="H3" s="9">
        <v>2.3789999999999999E-2</v>
      </c>
      <c r="I3" s="9">
        <v>7.5300000000000002E-3</v>
      </c>
      <c r="J3" s="9">
        <v>5.8639999999999998E-2</v>
      </c>
      <c r="K3" s="9">
        <v>0.78366999999999998</v>
      </c>
      <c r="L3" s="9">
        <v>0.10306</v>
      </c>
    </row>
    <row r="4" spans="1:12" ht="24">
      <c r="A4" s="5" t="s">
        <v>60</v>
      </c>
      <c r="B4" s="9">
        <v>1.9300000000000001E-2</v>
      </c>
      <c r="C4" s="9">
        <v>0.34816999999999998</v>
      </c>
      <c r="D4" s="9">
        <v>8.2189999999999999E-2</v>
      </c>
      <c r="E4" s="9">
        <v>9.2770000000000005E-2</v>
      </c>
      <c r="F4" s="9">
        <v>6.0249999999999998E-2</v>
      </c>
      <c r="G4" s="9">
        <v>2.0969999999999999E-2</v>
      </c>
      <c r="H4" s="9">
        <v>1.197E-2</v>
      </c>
      <c r="I4" s="9">
        <v>2.24E-2</v>
      </c>
      <c r="J4" s="9">
        <v>9.2369999999999994E-2</v>
      </c>
      <c r="K4" s="9">
        <v>0.58665999999999996</v>
      </c>
      <c r="L4" s="9">
        <v>0.14038</v>
      </c>
    </row>
    <row r="5" spans="1:12" ht="24">
      <c r="A5" s="5" t="s">
        <v>61</v>
      </c>
      <c r="B5" s="9">
        <v>2.1829999999999999E-2</v>
      </c>
      <c r="C5" s="9">
        <v>0.18146999999999999</v>
      </c>
      <c r="D5" s="9">
        <v>8.1159999999999996E-2</v>
      </c>
      <c r="E5" s="9">
        <v>9.1329999999999995E-2</v>
      </c>
      <c r="F5" s="9">
        <v>3.671E-2</v>
      </c>
      <c r="G5" s="9">
        <v>1.1390000000000001E-2</v>
      </c>
      <c r="H5" s="9">
        <v>2.5770000000000001E-2</v>
      </c>
      <c r="I5" s="9">
        <v>9.1000000000000004E-3</v>
      </c>
      <c r="J5" s="9">
        <v>0.12286</v>
      </c>
      <c r="K5" s="9">
        <v>0.1734</v>
      </c>
      <c r="L5" s="9">
        <v>1.426E-2</v>
      </c>
    </row>
    <row r="6" spans="1:12" ht="24">
      <c r="A6" s="5" t="s">
        <v>62</v>
      </c>
      <c r="B6" s="9">
        <v>1.173</v>
      </c>
      <c r="C6" s="9">
        <v>1.98</v>
      </c>
      <c r="D6" s="9">
        <v>1.18</v>
      </c>
      <c r="E6" s="9">
        <v>1.345</v>
      </c>
      <c r="F6" s="9">
        <v>0.67200000000000004</v>
      </c>
      <c r="G6" s="9">
        <v>0.65200000000000002</v>
      </c>
      <c r="H6" s="9">
        <v>0.64</v>
      </c>
      <c r="I6" s="9">
        <v>0.54100000000000004</v>
      </c>
      <c r="J6" s="9">
        <v>0.158</v>
      </c>
      <c r="K6" s="9">
        <v>1.7949999999999999</v>
      </c>
      <c r="L6" s="9">
        <v>0.47399999999999998</v>
      </c>
    </row>
    <row r="7" spans="1:12" ht="24">
      <c r="A7" s="5" t="s">
        <v>63</v>
      </c>
      <c r="B7" s="9">
        <v>3.101</v>
      </c>
      <c r="C7" s="9">
        <v>2.4409999999999998</v>
      </c>
      <c r="D7" s="9">
        <v>0.191</v>
      </c>
      <c r="E7" s="9">
        <v>0.22</v>
      </c>
      <c r="F7" s="9">
        <v>0.53200000000000003</v>
      </c>
      <c r="G7" s="9">
        <v>0.63400000000000001</v>
      </c>
      <c r="H7" s="9">
        <v>0.34899999999999998</v>
      </c>
      <c r="I7" s="9">
        <v>0.38900000000000001</v>
      </c>
      <c r="J7" s="9">
        <v>7.0000000000000007E-2</v>
      </c>
      <c r="K7" s="9">
        <v>6.3239999999999998</v>
      </c>
      <c r="L7" s="9">
        <v>0.89800000000000002</v>
      </c>
    </row>
    <row r="8" spans="1:12" ht="24">
      <c r="A8" s="5" t="s">
        <v>64</v>
      </c>
      <c r="B8" s="9">
        <v>0.47</v>
      </c>
      <c r="C8" s="9">
        <v>5.1580000000000004</v>
      </c>
      <c r="D8" s="9">
        <v>0.57999999999999996</v>
      </c>
      <c r="E8" s="9">
        <v>0.64900000000000002</v>
      </c>
      <c r="F8" s="9">
        <v>0.752</v>
      </c>
      <c r="G8" s="9">
        <v>0.623</v>
      </c>
      <c r="H8" s="9">
        <v>0.495</v>
      </c>
      <c r="I8" s="9">
        <v>0.85799999999999998</v>
      </c>
      <c r="J8" s="9">
        <v>6.4000000000000001E-2</v>
      </c>
      <c r="K8" s="9">
        <v>3.302</v>
      </c>
      <c r="L8" s="9">
        <v>3.5070000000000001</v>
      </c>
    </row>
    <row r="9" spans="1:12" ht="24">
      <c r="A9" s="5" t="s">
        <v>65</v>
      </c>
      <c r="B9" s="9">
        <v>1.1930000000000001</v>
      </c>
      <c r="C9" s="9">
        <v>2.286</v>
      </c>
      <c r="D9" s="9">
        <v>1.143</v>
      </c>
      <c r="E9" s="9">
        <v>1.3009999999999999</v>
      </c>
      <c r="F9" s="9">
        <v>0.64100000000000001</v>
      </c>
      <c r="G9" s="9">
        <v>0.65500000000000003</v>
      </c>
      <c r="H9" s="9">
        <v>0.62</v>
      </c>
      <c r="I9" s="9">
        <v>0.53700000000000003</v>
      </c>
      <c r="J9" s="9">
        <v>0.157</v>
      </c>
      <c r="K9" s="9">
        <v>1.4550000000000001</v>
      </c>
      <c r="L9" s="9">
        <v>0.627</v>
      </c>
    </row>
    <row r="10" spans="1:12" ht="24">
      <c r="A10" s="5" t="s">
        <v>80</v>
      </c>
      <c r="B10" s="9">
        <v>0.1118</v>
      </c>
      <c r="C10" s="9">
        <v>0.16896</v>
      </c>
      <c r="D10" s="9">
        <v>2.495E-2</v>
      </c>
      <c r="E10" s="9">
        <v>2.094E-2</v>
      </c>
      <c r="F10" s="9">
        <v>2.945E-2</v>
      </c>
      <c r="G10" s="9">
        <v>2.87E-2</v>
      </c>
      <c r="H10" s="9">
        <v>4.9959999999999997E-2</v>
      </c>
      <c r="I10" s="9">
        <v>2.6679999999999999E-2</v>
      </c>
      <c r="J10" s="9">
        <v>7.0730000000000001E-2</v>
      </c>
      <c r="K10" s="9">
        <v>0.21163999999999999</v>
      </c>
      <c r="L10" s="9">
        <v>3.569E-2</v>
      </c>
    </row>
    <row r="11" spans="1:12" ht="24">
      <c r="A11" s="5" t="s">
        <v>81</v>
      </c>
      <c r="B11" s="9">
        <v>0.19880999999999999</v>
      </c>
      <c r="C11" s="9">
        <v>0.14463000000000001</v>
      </c>
      <c r="D11" s="9">
        <v>0.18204999999999999</v>
      </c>
      <c r="E11" s="9">
        <v>0.20644000000000001</v>
      </c>
      <c r="F11" s="9">
        <v>0.19403000000000001</v>
      </c>
      <c r="G11" s="9">
        <v>0.22545999999999999</v>
      </c>
      <c r="H11" s="9">
        <v>6.6890000000000005E-2</v>
      </c>
      <c r="I11" s="9">
        <v>0.15815000000000001</v>
      </c>
      <c r="J11" s="9">
        <v>6.0810000000000003E-2</v>
      </c>
      <c r="K11" s="9">
        <v>0.12085</v>
      </c>
      <c r="L11" s="9">
        <v>0.11864</v>
      </c>
    </row>
    <row r="12" spans="1:12" ht="24">
      <c r="A12" s="5" t="s">
        <v>82</v>
      </c>
      <c r="B12" s="9">
        <v>0.48655999999999999</v>
      </c>
      <c r="C12" s="9">
        <v>0.84701000000000004</v>
      </c>
      <c r="D12" s="9">
        <v>0.29787999999999998</v>
      </c>
      <c r="E12" s="9">
        <v>0.32967000000000002</v>
      </c>
      <c r="F12" s="9">
        <v>0.37541999999999998</v>
      </c>
      <c r="G12" s="9">
        <v>5.5370000000000003E-2</v>
      </c>
      <c r="H12" s="9">
        <v>6.9839999999999999E-2</v>
      </c>
      <c r="I12" s="9">
        <v>5.3620000000000001E-2</v>
      </c>
      <c r="J12" s="9">
        <v>0.13017000000000001</v>
      </c>
      <c r="K12" s="9">
        <v>0.74239999999999995</v>
      </c>
      <c r="L12" s="9">
        <v>0.26967000000000002</v>
      </c>
    </row>
    <row r="13" spans="1:12" ht="24">
      <c r="A13" s="6" t="s">
        <v>83</v>
      </c>
      <c r="B13" s="9">
        <v>3.737E-2</v>
      </c>
      <c r="C13" s="9">
        <v>1.1379999999999999E-2</v>
      </c>
      <c r="D13" s="9">
        <v>1.238E-2</v>
      </c>
      <c r="E13" s="9">
        <v>1.404E-2</v>
      </c>
      <c r="F13" s="9">
        <v>8.9700000000000005E-3</v>
      </c>
      <c r="G13" s="9">
        <v>0.55456000000000005</v>
      </c>
      <c r="H13" s="9">
        <v>8.0060000000000006E-2</v>
      </c>
      <c r="I13" s="9">
        <v>0.13741</v>
      </c>
      <c r="J13" s="9">
        <v>1.37321</v>
      </c>
      <c r="K13" s="9">
        <v>3.5880000000000002E-2</v>
      </c>
      <c r="L13" s="9">
        <v>2.4399999999999999E-3</v>
      </c>
    </row>
    <row r="14" spans="1:12" ht="24">
      <c r="A14" s="6" t="s">
        <v>84</v>
      </c>
      <c r="B14" s="9">
        <v>0.14177000000000001</v>
      </c>
      <c r="C14" s="9">
        <v>4.3040000000000002E-2</v>
      </c>
      <c r="D14" s="9">
        <v>7.0019999999999999E-2</v>
      </c>
      <c r="E14" s="9">
        <v>7.3200000000000001E-2</v>
      </c>
      <c r="F14" s="9">
        <v>3.0009999999999998E-2</v>
      </c>
      <c r="G14" s="9">
        <v>0.23577000000000001</v>
      </c>
      <c r="H14" s="9">
        <v>6.6280000000000006E-2</v>
      </c>
      <c r="I14" s="9">
        <v>4.5109999999999997E-2</v>
      </c>
      <c r="J14" s="9">
        <v>3.2486000000000002</v>
      </c>
      <c r="K14" s="9">
        <v>0.11497</v>
      </c>
      <c r="L14" s="9">
        <v>8.4600000000000005E-3</v>
      </c>
    </row>
    <row r="15" spans="1:12" ht="24">
      <c r="A15" s="6" t="s">
        <v>85</v>
      </c>
      <c r="B15" s="9">
        <v>0.14424000000000001</v>
      </c>
      <c r="C15" s="9">
        <v>4.6080000000000003E-2</v>
      </c>
      <c r="D15" s="9">
        <v>7.9210000000000003E-2</v>
      </c>
      <c r="E15" s="9">
        <v>8.3650000000000002E-2</v>
      </c>
      <c r="F15" s="9">
        <v>3.5150000000000001E-2</v>
      </c>
      <c r="G15" s="9">
        <v>0.75788999999999995</v>
      </c>
      <c r="H15" s="9">
        <v>0.14111000000000001</v>
      </c>
      <c r="I15" s="9">
        <v>0.16647999999999999</v>
      </c>
      <c r="J15" s="9">
        <v>4.6212900000000001</v>
      </c>
      <c r="K15" s="9">
        <v>0.14935999999999999</v>
      </c>
      <c r="L15" s="9">
        <v>7.0099999999999997E-3</v>
      </c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1" t="s">
        <v>87</v>
      </c>
      <c r="B17" s="12">
        <v>38545</v>
      </c>
      <c r="C17" s="12">
        <v>38553</v>
      </c>
      <c r="D17" s="12">
        <v>38555</v>
      </c>
      <c r="E17" s="12">
        <v>38555</v>
      </c>
      <c r="F17" s="12">
        <v>38555</v>
      </c>
      <c r="G17" s="12">
        <v>38599</v>
      </c>
      <c r="H17" s="12">
        <v>38599</v>
      </c>
      <c r="I17" s="12">
        <v>38599</v>
      </c>
      <c r="J17" s="12">
        <v>38620</v>
      </c>
      <c r="K17" s="12">
        <v>39378</v>
      </c>
      <c r="L17" s="12">
        <v>39378</v>
      </c>
    </row>
    <row r="18" spans="1:12" ht="24">
      <c r="A18" s="5" t="s">
        <v>58</v>
      </c>
      <c r="B18" s="9">
        <v>0.43564000000000003</v>
      </c>
      <c r="C18" s="9">
        <v>0.83426</v>
      </c>
      <c r="D18" s="9">
        <v>0.42607</v>
      </c>
      <c r="E18" s="9">
        <v>0.28139999999999998</v>
      </c>
      <c r="F18" s="9">
        <v>0.38186999999999999</v>
      </c>
      <c r="G18" s="9">
        <v>1.4250000000000001E-2</v>
      </c>
      <c r="H18" s="9">
        <v>0.57269999999999999</v>
      </c>
      <c r="I18" s="9">
        <v>0.31019999999999998</v>
      </c>
      <c r="J18" s="9">
        <v>1.03718</v>
      </c>
      <c r="K18" s="9">
        <v>0.65427000000000002</v>
      </c>
      <c r="L18" s="9">
        <v>0.82896000000000003</v>
      </c>
    </row>
    <row r="19" spans="1:12" ht="24">
      <c r="A19" s="5" t="s">
        <v>59</v>
      </c>
      <c r="B19" s="9">
        <v>0.19531000000000001</v>
      </c>
      <c r="C19" s="9">
        <v>1.53895</v>
      </c>
      <c r="D19" s="9">
        <v>0.35499999999999998</v>
      </c>
      <c r="E19" s="9">
        <v>0.45151999999999998</v>
      </c>
      <c r="F19" s="9">
        <v>0.26867000000000002</v>
      </c>
      <c r="G19" s="9">
        <v>0.23635</v>
      </c>
      <c r="H19" s="9">
        <v>0.79974000000000001</v>
      </c>
      <c r="I19" s="9">
        <v>0.55001999999999995</v>
      </c>
      <c r="J19" s="9">
        <v>0.91913999999999996</v>
      </c>
      <c r="K19" s="9">
        <v>1.34318</v>
      </c>
      <c r="L19" s="9">
        <v>0.97169000000000005</v>
      </c>
    </row>
    <row r="20" spans="1:12" ht="24">
      <c r="A20" s="5" t="s">
        <v>60</v>
      </c>
      <c r="B20" s="9">
        <v>0.63114000000000003</v>
      </c>
      <c r="C20" s="9">
        <v>1.3426100000000001</v>
      </c>
      <c r="D20" s="9">
        <v>0.39855000000000002</v>
      </c>
      <c r="E20" s="9">
        <v>0.57930999999999999</v>
      </c>
      <c r="F20" s="9">
        <v>0.21360000000000001</v>
      </c>
      <c r="G20" s="9">
        <v>1.01041</v>
      </c>
      <c r="H20" s="9">
        <v>0.52827999999999997</v>
      </c>
      <c r="I20" s="9">
        <v>0.63805999999999996</v>
      </c>
      <c r="J20" s="9">
        <v>1.8422000000000001</v>
      </c>
      <c r="K20" s="9">
        <v>1.46262</v>
      </c>
      <c r="L20" s="9">
        <v>1.80555</v>
      </c>
    </row>
    <row r="21" spans="1:12" ht="24">
      <c r="A21" s="5" t="s">
        <v>61</v>
      </c>
      <c r="B21" s="9">
        <v>0.37998999999999999</v>
      </c>
      <c r="C21" s="9">
        <v>0.24984000000000001</v>
      </c>
      <c r="D21" s="9">
        <v>0.41354999999999997</v>
      </c>
      <c r="E21" s="9">
        <v>0.39699000000000001</v>
      </c>
      <c r="F21" s="9">
        <v>0.31085000000000002</v>
      </c>
      <c r="G21" s="9">
        <v>0.17563999999999999</v>
      </c>
      <c r="H21" s="9">
        <v>0.53103</v>
      </c>
      <c r="I21" s="9">
        <v>0.52131000000000005</v>
      </c>
      <c r="J21" s="9">
        <v>0.97221000000000002</v>
      </c>
      <c r="K21" s="9">
        <v>1.6049100000000001</v>
      </c>
      <c r="L21" s="9">
        <v>0.25513999999999998</v>
      </c>
    </row>
    <row r="22" spans="1:12" ht="24">
      <c r="A22" s="5" t="s">
        <v>62</v>
      </c>
      <c r="B22" s="9">
        <v>1.526</v>
      </c>
      <c r="C22" s="9">
        <v>4.29</v>
      </c>
      <c r="D22" s="9">
        <v>5.85</v>
      </c>
      <c r="E22" s="9">
        <v>4.1859999999999999</v>
      </c>
      <c r="F22" s="9">
        <v>5.6040000000000001</v>
      </c>
      <c r="G22" s="9">
        <v>1.605</v>
      </c>
      <c r="H22" s="9">
        <v>16.23</v>
      </c>
      <c r="I22" s="9">
        <v>10.86</v>
      </c>
      <c r="J22" s="9">
        <v>3.8929999999999998</v>
      </c>
      <c r="K22" s="9">
        <v>4.8860000000000001</v>
      </c>
      <c r="L22" s="9">
        <v>3.2290000000000001</v>
      </c>
    </row>
    <row r="23" spans="1:12" ht="24">
      <c r="A23" s="5" t="s">
        <v>63</v>
      </c>
      <c r="B23" s="9">
        <v>2.1760000000000002</v>
      </c>
      <c r="C23" s="9">
        <v>5.2329999999999997</v>
      </c>
      <c r="D23" s="9">
        <v>5.4690000000000003</v>
      </c>
      <c r="E23" s="9">
        <v>3.302</v>
      </c>
      <c r="F23" s="9">
        <v>4.1280000000000001</v>
      </c>
      <c r="G23" s="9">
        <v>2.0379999999999998</v>
      </c>
      <c r="H23" s="9">
        <v>20.449000000000002</v>
      </c>
      <c r="I23" s="9">
        <v>15.227</v>
      </c>
      <c r="J23" s="9">
        <v>2.7269999999999999</v>
      </c>
      <c r="K23" s="9">
        <v>3.5840000000000001</v>
      </c>
      <c r="L23" s="9">
        <v>2.6070000000000002</v>
      </c>
    </row>
    <row r="24" spans="1:12" ht="24">
      <c r="A24" s="5" t="s">
        <v>64</v>
      </c>
      <c r="B24" s="9">
        <v>2.298</v>
      </c>
      <c r="C24" s="9">
        <v>4.9790000000000001</v>
      </c>
      <c r="D24" s="9">
        <v>2.8580000000000001</v>
      </c>
      <c r="E24" s="9">
        <v>4.93</v>
      </c>
      <c r="F24" s="9">
        <v>5.16</v>
      </c>
      <c r="G24" s="9">
        <v>5.9089999999999998</v>
      </c>
      <c r="H24" s="9">
        <v>11.98</v>
      </c>
      <c r="I24" s="9">
        <v>17.056999999999999</v>
      </c>
      <c r="J24" s="9">
        <v>4.165</v>
      </c>
      <c r="K24" s="9">
        <v>4.5510000000000002</v>
      </c>
      <c r="L24" s="9">
        <v>3.024</v>
      </c>
    </row>
    <row r="25" spans="1:12" ht="24">
      <c r="A25" s="5" t="s">
        <v>65</v>
      </c>
      <c r="B25" s="9">
        <v>1.5529999999999999</v>
      </c>
      <c r="C25" s="9">
        <v>5.032</v>
      </c>
      <c r="D25" s="9">
        <v>6.0430000000000001</v>
      </c>
      <c r="E25" s="9">
        <v>5.2130000000000001</v>
      </c>
      <c r="F25" s="9">
        <v>5.7080000000000002</v>
      </c>
      <c r="G25" s="9">
        <v>0.45100000000000001</v>
      </c>
      <c r="H25" s="9">
        <v>16.387</v>
      </c>
      <c r="I25" s="9">
        <v>7.85</v>
      </c>
      <c r="J25" s="9">
        <v>2.5430000000000001</v>
      </c>
      <c r="K25" s="9">
        <v>4.7030000000000003</v>
      </c>
      <c r="L25" s="9">
        <v>3.4620000000000002</v>
      </c>
    </row>
    <row r="26" spans="1:12" ht="24">
      <c r="A26" s="5" t="s">
        <v>80</v>
      </c>
      <c r="B26" s="9">
        <v>0.48118</v>
      </c>
      <c r="C26" s="9">
        <v>0.46345999999999998</v>
      </c>
      <c r="D26" s="9">
        <v>0.32932</v>
      </c>
      <c r="E26" s="9">
        <v>0.17080000000000001</v>
      </c>
      <c r="F26" s="9">
        <v>0.32194</v>
      </c>
      <c r="G26" s="9">
        <v>0.70091000000000003</v>
      </c>
      <c r="H26" s="9">
        <v>0.71423000000000003</v>
      </c>
      <c r="I26" s="9">
        <v>1.7232700000000001</v>
      </c>
      <c r="J26" s="9">
        <v>0.95647000000000004</v>
      </c>
      <c r="K26" s="9">
        <v>2.1862200000000001</v>
      </c>
      <c r="L26" s="9">
        <v>0.91744000000000003</v>
      </c>
    </row>
    <row r="27" spans="1:12" ht="24">
      <c r="A27" s="5" t="s">
        <v>81</v>
      </c>
      <c r="B27" s="9">
        <v>0.34</v>
      </c>
      <c r="C27" s="9">
        <v>0.33180999999999999</v>
      </c>
      <c r="D27" s="9">
        <v>0.62270000000000003</v>
      </c>
      <c r="E27" s="9">
        <v>0.37282999999999999</v>
      </c>
      <c r="F27" s="9">
        <v>0.62402000000000002</v>
      </c>
      <c r="G27" s="9">
        <v>0.42469000000000001</v>
      </c>
      <c r="H27" s="9">
        <v>1.12622</v>
      </c>
      <c r="I27" s="9">
        <v>0.63773000000000002</v>
      </c>
      <c r="J27" s="9">
        <v>0.46332000000000001</v>
      </c>
      <c r="K27" s="9">
        <v>0.55283000000000004</v>
      </c>
      <c r="L27" s="9">
        <v>0.41017999999999999</v>
      </c>
    </row>
    <row r="28" spans="1:12" ht="24">
      <c r="A28" s="5" t="s">
        <v>82</v>
      </c>
      <c r="B28" s="9">
        <v>2.23089</v>
      </c>
      <c r="C28" s="9">
        <v>2.81501</v>
      </c>
      <c r="D28" s="9">
        <v>4.5498799999999999</v>
      </c>
      <c r="E28" s="9">
        <v>2.2436400000000001</v>
      </c>
      <c r="F28" s="9">
        <v>9.0219299999999993</v>
      </c>
      <c r="G28" s="9">
        <v>1.6038600000000001</v>
      </c>
      <c r="H28" s="9">
        <v>12.65192</v>
      </c>
      <c r="I28" s="9">
        <v>13.18845</v>
      </c>
      <c r="J28" s="9">
        <v>4.1920599999999997</v>
      </c>
      <c r="K28" s="9">
        <v>4.9336900000000004</v>
      </c>
      <c r="L28" s="9">
        <v>2.5314899999999998</v>
      </c>
    </row>
    <row r="29" spans="1:12" ht="24">
      <c r="A29" s="6" t="s">
        <v>83</v>
      </c>
      <c r="B29" s="9">
        <v>0.16564000000000001</v>
      </c>
      <c r="C29" s="9">
        <v>1.5469999999999999E-2</v>
      </c>
      <c r="D29" s="9">
        <v>4.1889999999999997E-2</v>
      </c>
      <c r="E29" s="9">
        <v>2.8000000000000001E-2</v>
      </c>
      <c r="F29" s="9">
        <v>5.0770000000000003E-2</v>
      </c>
      <c r="G29" s="9">
        <v>0.13816000000000001</v>
      </c>
      <c r="H29" s="9">
        <v>0.75688</v>
      </c>
      <c r="I29" s="9">
        <v>1.3105500000000001</v>
      </c>
      <c r="J29" s="9">
        <v>0.31241000000000002</v>
      </c>
      <c r="K29" s="9">
        <v>0.38623000000000002</v>
      </c>
      <c r="L29" s="9">
        <v>1.5679999999999999E-2</v>
      </c>
    </row>
    <row r="30" spans="1:12" ht="24">
      <c r="A30" s="6" t="s">
        <v>84</v>
      </c>
      <c r="B30" s="9">
        <v>0.94528999999999996</v>
      </c>
      <c r="C30" s="9">
        <v>5.833E-2</v>
      </c>
      <c r="D30" s="9">
        <v>0.24732000000000001</v>
      </c>
      <c r="E30" s="9">
        <v>0.12570999999999999</v>
      </c>
      <c r="F30" s="9">
        <v>0.28036</v>
      </c>
      <c r="G30" s="9">
        <v>0.26101999999999997</v>
      </c>
      <c r="H30" s="9">
        <v>5.9909999999999997</v>
      </c>
      <c r="I30" s="9">
        <v>5.2796599999999998</v>
      </c>
      <c r="J30" s="9">
        <v>1.6052200000000001</v>
      </c>
      <c r="K30" s="9">
        <v>1.1108499999999999</v>
      </c>
      <c r="L30" s="9">
        <v>3.4819999999999997E-2</v>
      </c>
    </row>
    <row r="31" spans="1:12" ht="24">
      <c r="A31" s="6" t="s">
        <v>85</v>
      </c>
      <c r="B31" s="9">
        <v>1.10188</v>
      </c>
      <c r="C31" s="9">
        <v>6.5960000000000005E-2</v>
      </c>
      <c r="D31" s="9">
        <v>0.28606999999999999</v>
      </c>
      <c r="E31" s="9">
        <v>0.15323000000000001</v>
      </c>
      <c r="F31" s="9">
        <v>0.32163000000000003</v>
      </c>
      <c r="G31" s="9">
        <v>0.39772999999999997</v>
      </c>
      <c r="H31" s="9">
        <v>6.6960600000000001</v>
      </c>
      <c r="I31" s="9">
        <v>6.4343300000000001</v>
      </c>
      <c r="J31" s="9">
        <v>1.9105300000000001</v>
      </c>
      <c r="K31" s="9">
        <v>1.49474</v>
      </c>
      <c r="L31" s="9">
        <v>4.5159999999999999E-2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Averages</vt:lpstr>
      <vt:lpstr>Std. Dev.</vt:lpstr>
      <vt:lpstr>Std. Dev. of Mean</vt:lpstr>
    </vt:vector>
  </TitlesOfParts>
  <Company>NASA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Wilson</dc:creator>
  <cp:lastModifiedBy>Lynn Wilson</cp:lastModifiedBy>
  <dcterms:created xsi:type="dcterms:W3CDTF">2013-06-19T21:02:31Z</dcterms:created>
  <dcterms:modified xsi:type="dcterms:W3CDTF">2013-08-21T20:09:31Z</dcterms:modified>
</cp:coreProperties>
</file>