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73c81f67e416fdc/Desktop/‎/GPGLOBAL/loan-service-system-main-2/"/>
    </mc:Choice>
  </mc:AlternateContent>
  <xr:revisionPtr revIDLastSave="1270" documentId="8_{A29C76CF-9D70-4178-9CA6-F30F45099062}" xr6:coauthVersionLast="47" xr6:coauthVersionMax="47" xr10:uidLastSave="{F1B780B0-A3D3-48A3-A7AA-BC7E575DB83E}"/>
  <bookViews>
    <workbookView xWindow="-28920" yWindow="-120" windowWidth="29040" windowHeight="16440" activeTab="2" xr2:uid="{217603A9-211F-43B7-8100-070EC3968530}"/>
  </bookViews>
  <sheets>
    <sheet name="Corporate View " sheetId="4" r:id="rId1"/>
    <sheet name="Definitions" sheetId="2" r:id="rId2"/>
    <sheet name="Amort Schedule" sheetId="3" r:id="rId3"/>
    <sheet name="Customer View" sheetId="5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K10" i="4"/>
  <c r="H13" i="2"/>
  <c r="H14" i="2"/>
  <c r="H10" i="2"/>
  <c r="B24" i="3"/>
  <c r="F3" i="4"/>
  <c r="K9" i="4"/>
  <c r="F42" i="4" l="1"/>
  <c r="H42" i="4" s="1"/>
  <c r="H30" i="4"/>
  <c r="F7" i="5"/>
  <c r="F8" i="5" s="1"/>
  <c r="F3" i="5"/>
  <c r="F1" i="5" s="1"/>
  <c r="F4" i="5" s="1"/>
  <c r="H20" i="4"/>
  <c r="H14" i="4"/>
  <c r="H13" i="4"/>
  <c r="C14" i="4"/>
  <c r="C13" i="4"/>
  <c r="C11" i="4"/>
  <c r="I11" i="4" s="1"/>
  <c r="R5" i="3"/>
  <c r="F1" i="4" l="1"/>
  <c r="H8" i="3" s="1"/>
  <c r="H13" i="3" s="1"/>
  <c r="F7" i="4"/>
  <c r="C15" i="4" s="1"/>
  <c r="H15" i="4" s="1"/>
  <c r="D11" i="4"/>
  <c r="C12" i="4"/>
  <c r="H11" i="4"/>
  <c r="H12" i="4" l="1"/>
  <c r="D12" i="4"/>
  <c r="D13" i="4" s="1"/>
  <c r="D14" i="4" s="1"/>
  <c r="D15" i="4" s="1"/>
  <c r="D16" i="4" s="1"/>
  <c r="E16" i="4" s="1"/>
  <c r="I12" i="4"/>
  <c r="I13" i="4" s="1"/>
  <c r="I14" i="4" s="1"/>
  <c r="K24" i="3"/>
  <c r="L20" i="3"/>
  <c r="L17" i="3" a="1"/>
  <c r="L17" i="3" s="1"/>
  <c r="Q13" i="3"/>
  <c r="C20" i="3"/>
  <c r="C17" i="3" a="1"/>
  <c r="C17" i="3" s="1"/>
  <c r="K11" i="4" l="1"/>
  <c r="K12" i="4" s="1"/>
  <c r="L19" i="3"/>
  <c r="Q15" i="3" s="1"/>
  <c r="L18" i="3"/>
  <c r="Q6" i="3"/>
  <c r="Q7" i="3" s="1"/>
  <c r="C19" i="3"/>
  <c r="H15" i="3" s="1"/>
  <c r="C18" i="3"/>
  <c r="Q23" i="3" l="1"/>
  <c r="O24" i="3" s="1"/>
  <c r="L24" i="3"/>
  <c r="Q14" i="3"/>
  <c r="I15" i="4" l="1"/>
  <c r="F8" i="4" l="1"/>
  <c r="H4" i="3" s="1"/>
  <c r="H6" i="3" l="1"/>
  <c r="H7" i="3" s="1"/>
  <c r="E17" i="4"/>
  <c r="H16" i="4"/>
  <c r="I16" i="4"/>
  <c r="C24" i="3" l="1"/>
  <c r="H14" i="3"/>
  <c r="H23" i="3"/>
  <c r="F24" i="3" s="1"/>
  <c r="D24" i="3" l="1"/>
  <c r="G24" i="3" s="1"/>
  <c r="H24" i="3" s="1"/>
  <c r="C25" i="3" s="1"/>
  <c r="H1" i="4"/>
  <c r="M24" i="3"/>
  <c r="P24" i="3" s="1"/>
  <c r="Q24" i="3" s="1"/>
  <c r="S24" i="3"/>
  <c r="U24" i="3" s="1"/>
  <c r="L25" i="3" l="1"/>
  <c r="J25" i="3"/>
  <c r="A25" i="3"/>
  <c r="D25" i="3" l="1"/>
  <c r="B25" i="3"/>
  <c r="K25" i="3"/>
  <c r="M25" i="3"/>
  <c r="O25" i="3"/>
  <c r="F25" i="3"/>
  <c r="P25" i="3" l="1"/>
  <c r="Q25" i="3" s="1"/>
  <c r="L26" i="3" s="1"/>
  <c r="G25" i="3"/>
  <c r="H25" i="3" s="1"/>
  <c r="S25" i="3"/>
  <c r="U25" i="3" s="1"/>
  <c r="A26" i="3" l="1"/>
  <c r="D26" i="3" s="1"/>
  <c r="J26" i="3"/>
  <c r="K26" i="3" s="1"/>
  <c r="C26" i="3"/>
  <c r="F26" i="3" l="1"/>
  <c r="G26" i="3" s="1"/>
  <c r="H26" i="3" s="1"/>
  <c r="O26" i="3"/>
  <c r="M26" i="3"/>
  <c r="P26" i="3" s="1"/>
  <c r="Q26" i="3" s="1"/>
  <c r="L27" i="3" s="1"/>
  <c r="B26" i="3"/>
  <c r="A27" i="3" l="1"/>
  <c r="F27" i="3" s="1"/>
  <c r="C27" i="3"/>
  <c r="S26" i="3"/>
  <c r="U26" i="3" s="1"/>
  <c r="J27" i="3"/>
  <c r="O27" i="3" s="1"/>
  <c r="D27" i="3" l="1"/>
  <c r="G27" i="3" s="1"/>
  <c r="H27" i="3" s="1"/>
  <c r="C28" i="3" s="1"/>
  <c r="B27" i="3"/>
  <c r="K27" i="3"/>
  <c r="M27" i="3"/>
  <c r="P27" i="3" s="1"/>
  <c r="Q27" i="3" s="1"/>
  <c r="J28" i="3" s="1"/>
  <c r="S27" i="3"/>
  <c r="U27" i="3" s="1"/>
  <c r="A28" i="3" l="1"/>
  <c r="B28" i="3" s="1"/>
  <c r="L28" i="3"/>
  <c r="O28" i="3"/>
  <c r="K28" i="3"/>
  <c r="M28" i="3"/>
  <c r="D28" i="3" l="1"/>
  <c r="F28" i="3"/>
  <c r="S28" i="3" s="1"/>
  <c r="U28" i="3" s="1"/>
  <c r="P28" i="3"/>
  <c r="Q28" i="3" s="1"/>
  <c r="J29" i="3" s="1"/>
  <c r="G28" i="3" l="1"/>
  <c r="H28" i="3" s="1"/>
  <c r="C29" i="3" s="1"/>
  <c r="L29" i="3"/>
  <c r="O29" i="3"/>
  <c r="M29" i="3"/>
  <c r="P29" i="3" s="1"/>
  <c r="Q29" i="3" s="1"/>
  <c r="K29" i="3"/>
  <c r="A29" i="3" l="1"/>
  <c r="F29" i="3" s="1"/>
  <c r="S29" i="3" s="1"/>
  <c r="U29" i="3" s="1"/>
  <c r="L30" i="3"/>
  <c r="J30" i="3"/>
  <c r="D29" i="3" l="1"/>
  <c r="G29" i="3" s="1"/>
  <c r="H29" i="3" s="1"/>
  <c r="A30" i="3" s="1"/>
  <c r="B30" i="3" s="1"/>
  <c r="B29" i="3"/>
  <c r="K30" i="3"/>
  <c r="M30" i="3"/>
  <c r="O30" i="3"/>
  <c r="C30" i="3" l="1"/>
  <c r="F30" i="3"/>
  <c r="D30" i="3"/>
  <c r="P30" i="3"/>
  <c r="Q30" i="3" s="1"/>
  <c r="L31" i="3" s="1"/>
  <c r="G30" i="3" l="1"/>
  <c r="H30" i="3" s="1"/>
  <c r="C31" i="3" s="1"/>
  <c r="J31" i="3"/>
  <c r="M31" i="3" s="1"/>
  <c r="S30" i="3"/>
  <c r="U30" i="3" s="1"/>
  <c r="A31" i="3"/>
  <c r="B31" i="3" s="1"/>
  <c r="O31" i="3" l="1"/>
  <c r="K31" i="3"/>
  <c r="D31" i="3"/>
  <c r="F31" i="3"/>
  <c r="S31" i="3" s="1"/>
  <c r="U31" i="3" s="1"/>
  <c r="P31" i="3"/>
  <c r="Q31" i="3" s="1"/>
  <c r="L32" i="3" s="1"/>
  <c r="G31" i="3" l="1"/>
  <c r="H31" i="3" s="1"/>
  <c r="A32" i="3" s="1"/>
  <c r="B32" i="3" s="1"/>
  <c r="J32" i="3"/>
  <c r="M32" i="3" s="1"/>
  <c r="C32" i="3" l="1"/>
  <c r="K32" i="3"/>
  <c r="O32" i="3"/>
  <c r="P32" i="3" s="1"/>
  <c r="Q32" i="3" s="1"/>
  <c r="L33" i="3" s="1"/>
  <c r="D32" i="3"/>
  <c r="F32" i="3"/>
  <c r="S32" i="3" s="1"/>
  <c r="U32" i="3" s="1"/>
  <c r="J33" i="3" l="1"/>
  <c r="M33" i="3" s="1"/>
  <c r="G32" i="3"/>
  <c r="H32" i="3" s="1"/>
  <c r="K33" i="3" l="1"/>
  <c r="O33" i="3"/>
  <c r="P33" i="3" s="1"/>
  <c r="Q33" i="3" s="1"/>
  <c r="L34" i="3" s="1"/>
  <c r="C33" i="3"/>
  <c r="A33" i="3"/>
  <c r="J34" i="3" l="1"/>
  <c r="O34" i="3" s="1"/>
  <c r="F33" i="3"/>
  <c r="S33" i="3" s="1"/>
  <c r="U33" i="3" s="1"/>
  <c r="D33" i="3"/>
  <c r="B33" i="3"/>
  <c r="M34" i="3" l="1"/>
  <c r="P34" i="3" s="1"/>
  <c r="Q34" i="3" s="1"/>
  <c r="L35" i="3" s="1"/>
  <c r="K34" i="3"/>
  <c r="G33" i="3"/>
  <c r="H33" i="3" s="1"/>
  <c r="J35" i="3" l="1"/>
  <c r="M35" i="3" s="1"/>
  <c r="C34" i="3"/>
  <c r="A34" i="3"/>
  <c r="F34" i="3" s="1"/>
  <c r="P35" i="3" l="1"/>
  <c r="Q35" i="3" s="1"/>
  <c r="O35" i="3"/>
  <c r="Q16" i="3" s="1"/>
  <c r="K35" i="3"/>
  <c r="S34" i="3"/>
  <c r="U34" i="3" s="1"/>
  <c r="D34" i="3"/>
  <c r="G34" i="3" s="1"/>
  <c r="H34" i="3" s="1"/>
  <c r="B34" i="3"/>
  <c r="C35" i="3" l="1"/>
  <c r="A35" i="3"/>
  <c r="D35" i="3" s="1"/>
  <c r="B35" i="3" l="1"/>
  <c r="F35" i="3"/>
  <c r="G35" i="3" l="1"/>
  <c r="H35" i="3" s="1"/>
  <c r="U36" i="3" s="1"/>
  <c r="S35" i="3"/>
  <c r="U35" i="3" s="1"/>
  <c r="H16" i="3"/>
  <c r="F4" i="4" s="1"/>
  <c r="C17" i="4" s="1"/>
  <c r="H17" i="4" l="1"/>
  <c r="I17" i="4" s="1"/>
  <c r="D17" i="4"/>
  <c r="D18" i="4" s="1"/>
  <c r="E18" i="4" s="1"/>
  <c r="E19" i="4" l="1"/>
  <c r="C19" i="4" s="1"/>
  <c r="H18" i="4"/>
  <c r="I18" i="4"/>
  <c r="D19" i="4" l="1"/>
  <c r="D20" i="4" s="1"/>
  <c r="D21" i="4" s="1"/>
  <c r="E21" i="4" s="1"/>
  <c r="H19" i="4"/>
  <c r="I19" i="4" s="1"/>
  <c r="I20" i="4" s="1"/>
  <c r="H21" i="4" l="1"/>
  <c r="I21" i="4" s="1"/>
  <c r="E22" i="4"/>
  <c r="C22" i="4" s="1"/>
  <c r="H22" i="4" l="1"/>
  <c r="I22" i="4" s="1"/>
  <c r="I23" i="4" s="1"/>
  <c r="D22" i="4"/>
  <c r="D23" i="4" s="1"/>
  <c r="D24" i="4" s="1"/>
  <c r="E24" i="4" s="1"/>
  <c r="E25" i="4" l="1"/>
  <c r="C25" i="4" s="1"/>
  <c r="H24" i="4"/>
  <c r="I24" i="4" s="1"/>
  <c r="H25" i="4" l="1"/>
  <c r="I25" i="4" s="1"/>
  <c r="D25" i="4"/>
  <c r="D26" i="4" s="1"/>
  <c r="E26" i="4" s="1"/>
  <c r="E27" i="4" l="1"/>
  <c r="C27" i="4" s="1"/>
  <c r="H26" i="4"/>
  <c r="I26" i="4" s="1"/>
  <c r="H27" i="4" l="1"/>
  <c r="I27" i="4" s="1"/>
  <c r="D27" i="4"/>
  <c r="D28" i="4" s="1"/>
  <c r="E28" i="4" s="1"/>
  <c r="E29" i="4" l="1"/>
  <c r="C29" i="4" s="1"/>
  <c r="H28" i="4"/>
  <c r="I28" i="4" s="1"/>
  <c r="H29" i="4" l="1"/>
  <c r="I29" i="4" s="1"/>
  <c r="I30" i="4" s="1"/>
  <c r="I31" i="4" s="1"/>
  <c r="D29" i="4"/>
  <c r="D30" i="4" s="1"/>
  <c r="D31" i="4" s="1"/>
  <c r="D32" i="4" s="1"/>
  <c r="E32" i="4" s="1"/>
  <c r="H32" i="4" l="1"/>
  <c r="I32" i="4" s="1"/>
  <c r="E33" i="4"/>
  <c r="C33" i="4" s="1"/>
  <c r="H33" i="4" l="1"/>
  <c r="I33" i="4" s="1"/>
  <c r="D33" i="4"/>
  <c r="D34" i="4" s="1"/>
  <c r="E34" i="4" s="1"/>
  <c r="E35" i="4" l="1"/>
  <c r="C35" i="4" s="1"/>
  <c r="H34" i="4"/>
  <c r="I34" i="4" s="1"/>
  <c r="H35" i="4" l="1"/>
  <c r="I35" i="4" s="1"/>
  <c r="D35" i="4"/>
  <c r="D36" i="4" s="1"/>
  <c r="E36" i="4" s="1"/>
  <c r="E37" i="4" l="1"/>
  <c r="C37" i="4" s="1"/>
  <c r="H36" i="4"/>
  <c r="I36" i="4" s="1"/>
  <c r="H37" i="4" l="1"/>
  <c r="I37" i="4" s="1"/>
  <c r="D37" i="4"/>
  <c r="D38" i="4" s="1"/>
  <c r="E38" i="4" s="1"/>
  <c r="E39" i="4" l="1"/>
  <c r="C39" i="4" s="1"/>
  <c r="H38" i="4"/>
  <c r="I38" i="4" s="1"/>
  <c r="D39" i="4" l="1"/>
  <c r="D40" i="4" s="1"/>
  <c r="H39" i="4"/>
  <c r="I39" i="4" s="1"/>
  <c r="E40" i="4" l="1"/>
  <c r="C41" i="4"/>
  <c r="D41" i="4" s="1"/>
  <c r="C42" i="4" s="1"/>
  <c r="D42" i="4" s="1"/>
  <c r="E41" i="4" l="1"/>
  <c r="H41" i="4" s="1"/>
  <c r="J4" i="4" s="1"/>
  <c r="J3" i="4" s="1"/>
  <c r="H40" i="4"/>
  <c r="I40" i="4" s="1"/>
  <c r="I41" i="4" l="1"/>
  <c r="I42" i="4" s="1"/>
</calcChain>
</file>

<file path=xl/sharedStrings.xml><?xml version="1.0" encoding="utf-8"?>
<sst xmlns="http://schemas.openxmlformats.org/spreadsheetml/2006/main" count="353" uniqueCount="212">
  <si>
    <t>Name</t>
  </si>
  <si>
    <t>Asbel Viciedo</t>
  </si>
  <si>
    <t>VIN/Serial</t>
  </si>
  <si>
    <t>2T3C1RFV9RW301327</t>
  </si>
  <si>
    <t>Principal</t>
  </si>
  <si>
    <t>Monthly Payment</t>
  </si>
  <si>
    <t>Salesman</t>
  </si>
  <si>
    <t>Andy</t>
  </si>
  <si>
    <t>Loan Number</t>
  </si>
  <si>
    <t>Make</t>
  </si>
  <si>
    <t>TOYOTA</t>
  </si>
  <si>
    <t>Advance</t>
  </si>
  <si>
    <t>Earned  Interes per Day</t>
  </si>
  <si>
    <t>Amount To Refinance</t>
  </si>
  <si>
    <t>Status</t>
  </si>
  <si>
    <t>Open</t>
  </si>
  <si>
    <t>Model</t>
  </si>
  <si>
    <t>RAV</t>
  </si>
  <si>
    <t>VDC</t>
  </si>
  <si>
    <t>APR</t>
  </si>
  <si>
    <t># Payments  Made</t>
  </si>
  <si>
    <t>Sub - Status</t>
  </si>
  <si>
    <t>None</t>
  </si>
  <si>
    <t>Year</t>
  </si>
  <si>
    <t>Interest Loan</t>
  </si>
  <si>
    <t xml:space="preserve">$ Payments Made </t>
  </si>
  <si>
    <t>Phone Number</t>
  </si>
  <si>
    <t>BBV</t>
  </si>
  <si>
    <t>Investigation Fee</t>
  </si>
  <si>
    <t>Date Originated</t>
  </si>
  <si>
    <t>Current Amount Due</t>
  </si>
  <si>
    <t>Email</t>
  </si>
  <si>
    <t>asbel@gmail.com</t>
  </si>
  <si>
    <t>Lien Recording Fee</t>
  </si>
  <si>
    <t>Due Date</t>
  </si>
  <si>
    <t>Doc Stamp Fee</t>
  </si>
  <si>
    <t>Days Late</t>
  </si>
  <si>
    <t>Total Amount Financed</t>
  </si>
  <si>
    <t>Date</t>
  </si>
  <si>
    <t>Description</t>
  </si>
  <si>
    <t>Principal Balance</t>
  </si>
  <si>
    <t>Interest</t>
  </si>
  <si>
    <t>Late Fee</t>
  </si>
  <si>
    <t>Other Fee</t>
  </si>
  <si>
    <t>Total</t>
  </si>
  <si>
    <t>Total Balance</t>
  </si>
  <si>
    <t>Advanced</t>
  </si>
  <si>
    <t>Origination Fee - Credit Investigation Fee</t>
  </si>
  <si>
    <t xml:space="preserve">	Origination Fee - Lien Fee</t>
  </si>
  <si>
    <t xml:space="preserve">	Origination Fee - Stamp Tax</t>
  </si>
  <si>
    <t>Payment</t>
  </si>
  <si>
    <t>Repo Assesment Fee</t>
  </si>
  <si>
    <t>DATOS</t>
  </si>
  <si>
    <t>VALOR</t>
  </si>
  <si>
    <t>Solo campos sombreados completos***</t>
  </si>
  <si>
    <t>PRECIO DE COMPRA</t>
  </si>
  <si>
    <t>PAGO INICIAL PORCENTUAL</t>
  </si>
  <si>
    <t>PAGO INICIAL TOTAL</t>
  </si>
  <si>
    <t>MONTO DEL PRÉSTAMO</t>
  </si>
  <si>
    <t>TASA DE INTERÉS ANUAL</t>
  </si>
  <si>
    <t>DURACIÓN DEL PRÉSTAMO EN AÑOS</t>
  </si>
  <si>
    <t>FRECUENCIA DE PAGO</t>
  </si>
  <si>
    <t>Mensual</t>
  </si>
  <si>
    <t>PRIMERA FECHA DE PAGO</t>
  </si>
  <si>
    <t>TASA DE INTERÉS MENSUAL</t>
  </si>
  <si>
    <t>Semestral</t>
  </si>
  <si>
    <t>MENSUALIDAD</t>
  </si>
  <si>
    <t>Trimestral</t>
  </si>
  <si>
    <t>NÚMERO DE PAGOS</t>
  </si>
  <si>
    <t>Bimestral</t>
  </si>
  <si>
    <t>INTERÉS TOTAL</t>
  </si>
  <si>
    <t>Períodos por año</t>
  </si>
  <si>
    <t>REDONDEO</t>
  </si>
  <si>
    <t>En</t>
  </si>
  <si>
    <t>meses por período</t>
  </si>
  <si>
    <t>número de períodos</t>
  </si>
  <si>
    <t>Quincenal</t>
  </si>
  <si>
    <t>Opción de redondeo</t>
  </si>
  <si>
    <t>Semanal</t>
  </si>
  <si>
    <t>CRONOGRAMA DE AMORTIZACIÓN DE PRÉSTAMOS</t>
  </si>
  <si>
    <t>PYMT #</t>
  </si>
  <si>
    <t>FECHA DE PAGO</t>
  </si>
  <si>
    <t>SALDO INICIAL</t>
  </si>
  <si>
    <t>PAGO PROGRAMADO</t>
  </si>
  <si>
    <t>PAGO ADICIONAL</t>
  </si>
  <si>
    <t>INTERÉS</t>
  </si>
  <si>
    <t>PRINCIPAL</t>
  </si>
  <si>
    <t>Saldo</t>
  </si>
  <si>
    <t>EQUILIBRAR</t>
  </si>
  <si>
    <t>Nombre del cliente</t>
  </si>
  <si>
    <t>Customer Name</t>
  </si>
  <si>
    <t>Bankrupt</t>
  </si>
  <si>
    <t>Repayment Plan</t>
  </si>
  <si>
    <t>Número de identificación del prestamo</t>
  </si>
  <si>
    <t>Loan Identification Number</t>
  </si>
  <si>
    <t>Charged Off</t>
  </si>
  <si>
    <t>Claim of Lien Rec'd</t>
  </si>
  <si>
    <t>Estado del prestamo</t>
  </si>
  <si>
    <t>Loan Status</t>
  </si>
  <si>
    <t>Closed</t>
  </si>
  <si>
    <t>Damaged Asset/Impound Fees - Do Not Repo</t>
  </si>
  <si>
    <t>Subestado del prestamo</t>
  </si>
  <si>
    <t>Loan Sub-State</t>
  </si>
  <si>
    <t>For Sale</t>
  </si>
  <si>
    <t>Fraud</t>
  </si>
  <si>
    <t>Número de teléfono del cliente</t>
  </si>
  <si>
    <t>Client's phone number</t>
  </si>
  <si>
    <t>In House - No Surplus Funds</t>
  </si>
  <si>
    <t xml:space="preserve">Correo electronico </t>
  </si>
  <si>
    <t xml:space="preserve">Email address </t>
  </si>
  <si>
    <t>Out for Repo</t>
  </si>
  <si>
    <t>Insurance check pending</t>
  </si>
  <si>
    <t>Número de Identifiación del vehiculo</t>
  </si>
  <si>
    <t>Vehicle Identification Number</t>
  </si>
  <si>
    <t>Paid Off</t>
  </si>
  <si>
    <t>Insurance Proceeds Rec.- Total Loss</t>
  </si>
  <si>
    <t>Marca del vehiculo</t>
  </si>
  <si>
    <t>Vehicle Make</t>
  </si>
  <si>
    <t>Refinance</t>
  </si>
  <si>
    <t>Lien Loss/Impound</t>
  </si>
  <si>
    <t>Modelo del vehiculo</t>
  </si>
  <si>
    <t>Vehicle Model</t>
  </si>
  <si>
    <t>Repossessed</t>
  </si>
  <si>
    <t>Low Value and/or High Mileage â€“ Do Not Repo</t>
  </si>
  <si>
    <t>Año del Vehiculo</t>
  </si>
  <si>
    <t>Year of Vehicle</t>
  </si>
  <si>
    <t>Settled</t>
  </si>
  <si>
    <t>No Lien - Damaged Asset/Impound Fees</t>
  </si>
  <si>
    <t>Valor del Vehiculo en Blackbook</t>
  </si>
  <si>
    <t>Value of Vehicle in Blackbook</t>
  </si>
  <si>
    <t>Sold</t>
  </si>
  <si>
    <t>No Surplus Funds</t>
  </si>
  <si>
    <t>Suma de Advance y VDC</t>
  </si>
  <si>
    <t>Sum of Advance and VDC</t>
  </si>
  <si>
    <t>Redeemed Repo</t>
  </si>
  <si>
    <t>Valor del dinero consignado al cliente</t>
  </si>
  <si>
    <t>Value of money consigned to the customer</t>
  </si>
  <si>
    <t>Surplus Check</t>
  </si>
  <si>
    <t>Valor de la Anulación de la deuda de vehículos</t>
  </si>
  <si>
    <t>Value of Vehicle Debt Cancellation</t>
  </si>
  <si>
    <t>Total Loss</t>
  </si>
  <si>
    <t xml:space="preserve">Interest Loan </t>
  </si>
  <si>
    <t>Interes del prestamo (Se calcula con base en el Principal)</t>
  </si>
  <si>
    <t>Loan Interest (Calculated based on Principal)</t>
  </si>
  <si>
    <t>VDC Exercised</t>
  </si>
  <si>
    <t>Investigation Credit Fee</t>
  </si>
  <si>
    <t>Tasa por créditos de investigación</t>
  </si>
  <si>
    <t>Research Credit Fee</t>
  </si>
  <si>
    <t>Tasa de registro del derecho de retención</t>
  </si>
  <si>
    <t>Lien registration fee</t>
  </si>
  <si>
    <t>Tasa de sellado de documentos</t>
  </si>
  <si>
    <t>Document Stamping Fee</t>
  </si>
  <si>
    <t>Total dinero financiado (Incluye advance, VDC y Fees de originación)</t>
  </si>
  <si>
    <t>Total amount financed (Includes Advance, VDC and Origination Fees)</t>
  </si>
  <si>
    <t>Valor de la mensualidad a pagar</t>
  </si>
  <si>
    <t>Amount of monthly payment due</t>
  </si>
  <si>
    <t>Interes del prestamo divido por 365</t>
  </si>
  <si>
    <t>Loan interest divided by 365</t>
  </si>
  <si>
    <t>Loan Amount</t>
  </si>
  <si>
    <t>Total VDC</t>
  </si>
  <si>
    <t>Porcentaje del interes</t>
  </si>
  <si>
    <t>Percentage of interest</t>
  </si>
  <si>
    <t>0 - 1000</t>
  </si>
  <si>
    <t>80% VDC</t>
  </si>
  <si>
    <t xml:space="preserve"> Fecha de originación del prestamo</t>
  </si>
  <si>
    <t xml:space="preserve"> Loan origination date</t>
  </si>
  <si>
    <t>1000 - 2000</t>
  </si>
  <si>
    <t>75% VDC</t>
  </si>
  <si>
    <t>Fecha maximo de pago del prestamo</t>
  </si>
  <si>
    <t>Maximum loan payment date</t>
  </si>
  <si>
    <t>2001 - 3000</t>
  </si>
  <si>
    <t>70% VDC</t>
  </si>
  <si>
    <t xml:space="preserve">Cantidad de días tarde </t>
  </si>
  <si>
    <t xml:space="preserve">Number of days late </t>
  </si>
  <si>
    <t>3001 - 10000</t>
  </si>
  <si>
    <t>65% VDC</t>
  </si>
  <si>
    <t>Nombrel vendedor</t>
  </si>
  <si>
    <t>Salesman name</t>
  </si>
  <si>
    <t>10001 - 15000</t>
  </si>
  <si>
    <t>60% VDC</t>
  </si>
  <si>
    <t>Cantidad de cuánto puede ser el Rewrite</t>
  </si>
  <si>
    <t>Amount of how much the Rewrite can be</t>
  </si>
  <si>
    <t>Número de pagos hechos</t>
  </si>
  <si>
    <t>Number of payments made</t>
  </si>
  <si>
    <t>Identificación de cuenta</t>
  </si>
  <si>
    <t>Cantidad de dinero pago.</t>
  </si>
  <si>
    <t>Amount of money paid.</t>
  </si>
  <si>
    <t>New</t>
  </si>
  <si>
    <t>N</t>
  </si>
  <si>
    <t>Rewrite</t>
  </si>
  <si>
    <t>W</t>
  </si>
  <si>
    <t>Repeat</t>
  </si>
  <si>
    <t>P</t>
  </si>
  <si>
    <t>Fees</t>
  </si>
  <si>
    <t>Fee Name</t>
  </si>
  <si>
    <t>Credit Investigation Fee</t>
  </si>
  <si>
    <t>Lien Fee - FL</t>
  </si>
  <si>
    <t>Stamp Tax</t>
  </si>
  <si>
    <t>35 cents per $100</t>
  </si>
  <si>
    <t>Variable</t>
  </si>
  <si>
    <t>12 días tarde</t>
  </si>
  <si>
    <t>30 dias tarde</t>
  </si>
  <si>
    <t>Repo Management Fee</t>
  </si>
  <si>
    <t>Manual</t>
  </si>
  <si>
    <t>Recovery/Repo related fees</t>
  </si>
  <si>
    <t>Auction</t>
  </si>
  <si>
    <t>Transportation</t>
  </si>
  <si>
    <t>Reconditioning</t>
  </si>
  <si>
    <t>Storage fee</t>
  </si>
  <si>
    <t>Nw - 00001</t>
  </si>
  <si>
    <t>Interest Loan interest</t>
  </si>
  <si>
    <t>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</si>
</sst>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_(&quot;$&quot;* #,##0.0_);_(&quot;$&quot;* \(#,##0.0\);_(&quot;$&quot;* &quot;-&quot;??_);_(@_)"/>
    <numFmt numFmtId="168" formatCode="[$$-409]#,##0.00;\-[$$-409]#,##0.00"/>
    <numFmt numFmtId="169" formatCode="#,##0.00%;\-#,##0.00%"/>
    <numFmt numFmtId="170" formatCode="#,##0.000%;\-#,##0.000%"/>
    <numFmt numFmtId="171" formatCode="&quot;$&quot;#,##0.00;&quot;$&quot;\(#,##0.00\)"/>
    <numFmt numFmtId="172" formatCode="_(&quot;$&quot;* #,##0.000_);_(&quot;$&quot;* \(#,##0.000\);_(&quot;$&quot;* &quot;-&quot;??_);_(@_)"/>
    <numFmt numFmtId="173" formatCode="0.00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9"/>
      <color rgb="FF000000"/>
      <name val="Century Gothic"/>
      <family val="1"/>
    </font>
    <font>
      <sz val="10"/>
      <color rgb="FF000000"/>
      <name val="Century Gothic"/>
      <family val="1"/>
    </font>
    <font>
      <b/>
      <strike/>
      <sz val="9"/>
      <color rgb="FFFFFFFF"/>
      <name val="Century Gothic"/>
      <family val="1"/>
    </font>
    <font>
      <b/>
      <strike/>
      <sz val="10"/>
      <color rgb="FFFFFFFF"/>
      <name val="Century Gothic"/>
      <family val="1"/>
    </font>
    <font>
      <b/>
      <sz val="10"/>
      <color rgb="FF000000"/>
      <name val="Century Gothic"/>
      <family val="1"/>
    </font>
    <font>
      <sz val="11"/>
      <color rgb="FFFFFFFF"/>
      <name val="Century Gothic"/>
      <family val="1"/>
    </font>
    <font>
      <b/>
      <sz val="9"/>
      <color rgb="FFFFFFFF"/>
      <name val="Century Gothic"/>
      <family val="1"/>
    </font>
    <font>
      <sz val="11"/>
      <name val="Century Gothic"/>
      <family val="1"/>
    </font>
    <font>
      <sz val="11"/>
      <color theme="0"/>
      <name val="Century Gothic"/>
      <family val="1"/>
    </font>
    <font>
      <sz val="8"/>
      <color rgb="FF000000"/>
      <name val="Century Gothic"/>
      <family val="1"/>
    </font>
    <font>
      <sz val="11"/>
      <color rgb="FF000000"/>
      <name val="Century Gothic"/>
      <family val="1"/>
    </font>
    <font>
      <sz val="8"/>
      <name val="Century Gothic"/>
      <family val="1"/>
    </font>
    <font>
      <b/>
      <sz val="9"/>
      <name val="Century Gothic"/>
      <family val="1"/>
    </font>
    <font>
      <sz val="9"/>
      <color rgb="FF000000"/>
      <name val="Century Gothic"/>
      <family val="1"/>
    </font>
    <font>
      <u/>
      <sz val="11"/>
      <color theme="10"/>
      <name val="Aptos Narrow"/>
      <family val="2"/>
      <scheme val="minor"/>
    </font>
    <font>
      <sz val="11"/>
      <color rgb="FF242424"/>
      <name val="Consolas"/>
      <charset val="1"/>
    </font>
  </fonts>
  <fills count="18">
    <fill>
      <patternFill patternType="none"/>
    </fill>
    <fill>
      <patternFill patternType="gray125"/>
    </fill>
    <fill>
      <patternFill patternType="solid">
        <fgColor theme="6" tint="-0.499984740745262"/>
        <bgColor rgb="FF535B13"/>
      </patternFill>
    </fill>
    <fill>
      <patternFill patternType="solid">
        <fgColor theme="6" tint="0.79998168889431442"/>
        <bgColor rgb="FF7C891D"/>
      </patternFill>
    </fill>
    <fill>
      <patternFill patternType="solid">
        <fgColor theme="6" tint="0.59999389629810485"/>
        <bgColor rgb="FFE1EAA0"/>
      </patternFill>
    </fill>
    <fill>
      <patternFill patternType="solid">
        <fgColor theme="6" tint="0.79998168889431442"/>
        <bgColor rgb="FFE1EAA0"/>
      </patternFill>
    </fill>
    <fill>
      <patternFill patternType="solid">
        <fgColor theme="0"/>
        <bgColor rgb="FFF0F4CF"/>
      </patternFill>
    </fill>
    <fill>
      <patternFill patternType="solid">
        <fgColor rgb="FF204559"/>
        <bgColor rgb="FF204559"/>
      </patternFill>
    </fill>
    <fill>
      <patternFill patternType="solid">
        <fgColor rgb="FFB0D0E2"/>
        <bgColor rgb="FFB0D0E2"/>
      </patternFill>
    </fill>
    <fill>
      <patternFill patternType="solid">
        <fgColor rgb="FFFFFFFF"/>
        <bgColor rgb="FFFFFFFF"/>
      </patternFill>
    </fill>
    <fill>
      <patternFill patternType="solid">
        <fgColor rgb="FF306786"/>
        <bgColor rgb="FF306786"/>
      </patternFill>
    </fill>
    <fill>
      <patternFill patternType="solid">
        <fgColor theme="6" tint="-0.249977111117893"/>
        <bgColor rgb="FF76923C"/>
      </patternFill>
    </fill>
    <fill>
      <patternFill patternType="solid">
        <fgColor theme="6" tint="-0.249977111117893"/>
        <bgColor rgb="FF7C891D"/>
      </patternFill>
    </fill>
    <fill>
      <patternFill patternType="solid">
        <fgColor theme="6" tint="0.39997558519241921"/>
        <bgColor rgb="FFE1EAA0"/>
      </patternFill>
    </fill>
    <fill>
      <patternFill patternType="solid">
        <fgColor theme="6" tint="0.79998168889431442"/>
        <bgColor rgb="FFF0F4C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9">
    <xf numFmtId="0" fontId="0" fillId="0" borderId="0" xfId="0"/>
    <xf numFmtId="165" fontId="0" fillId="0" borderId="0" xfId="1" applyFont="1"/>
    <xf numFmtId="166" fontId="0" fillId="0" borderId="0" xfId="1" applyNumberFormat="1" applyFont="1"/>
    <xf numFmtId="165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2" fillId="0" borderId="0" xfId="0" quotePrefix="1" applyFont="1"/>
    <xf numFmtId="0" fontId="3" fillId="2" borderId="2" xfId="0" applyFont="1" applyFill="1" applyBorder="1" applyAlignment="1">
      <alignment horizontal="center" vertical="center"/>
    </xf>
    <xf numFmtId="168" fontId="6" fillId="5" borderId="2" xfId="0" applyNumberFormat="1" applyFont="1" applyFill="1" applyBorder="1" applyAlignment="1">
      <alignment horizontal="right" vertical="center"/>
    </xf>
    <xf numFmtId="10" fontId="6" fillId="5" borderId="2" xfId="0" applyNumberFormat="1" applyFont="1" applyFill="1" applyBorder="1" applyAlignment="1">
      <alignment horizontal="right" vertical="center"/>
    </xf>
    <xf numFmtId="168" fontId="6" fillId="6" borderId="2" xfId="0" applyNumberFormat="1" applyFont="1" applyFill="1" applyBorder="1" applyAlignment="1">
      <alignment horizontal="right" vertical="center"/>
    </xf>
    <xf numFmtId="169" fontId="6" fillId="5" borderId="2" xfId="0" applyNumberFormat="1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14" fontId="6" fillId="5" borderId="5" xfId="0" applyNumberFormat="1" applyFont="1" applyFill="1" applyBorder="1" applyAlignment="1">
      <alignment horizontal="right" vertical="center"/>
    </xf>
    <xf numFmtId="0" fontId="8" fillId="7" borderId="3" xfId="0" applyFont="1" applyFill="1" applyBorder="1" applyAlignment="1">
      <alignment horizontal="right" vertical="center"/>
    </xf>
    <xf numFmtId="170" fontId="9" fillId="0" borderId="8" xfId="0" applyNumberFormat="1" applyFont="1" applyBorder="1" applyAlignment="1">
      <alignment horizontal="right" vertical="center"/>
    </xf>
    <xf numFmtId="168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2" fillId="0" borderId="0" xfId="0" applyFont="1"/>
    <xf numFmtId="168" fontId="3" fillId="9" borderId="0" xfId="0" applyNumberFormat="1" applyFont="1" applyFill="1" applyAlignment="1">
      <alignment horizontal="right" vertical="center"/>
    </xf>
    <xf numFmtId="0" fontId="5" fillId="9" borderId="0" xfId="0" applyFont="1" applyFill="1" applyAlignment="1">
      <alignment horizontal="left" vertical="center"/>
    </xf>
    <xf numFmtId="0" fontId="12" fillId="9" borderId="0" xfId="0" applyFont="1" applyFill="1"/>
    <xf numFmtId="168" fontId="9" fillId="9" borderId="0" xfId="0" applyNumberFormat="1" applyFont="1" applyFill="1" applyAlignment="1">
      <alignment horizontal="right" vertical="center"/>
    </xf>
    <xf numFmtId="0" fontId="15" fillId="9" borderId="0" xfId="0" applyFont="1" applyFill="1" applyAlignment="1">
      <alignment horizontal="right"/>
    </xf>
    <xf numFmtId="0" fontId="15" fillId="0" borderId="0" xfId="0" applyFont="1"/>
    <xf numFmtId="0" fontId="11" fillId="12" borderId="2" xfId="0" applyFont="1" applyFill="1" applyBorder="1" applyAlignment="1">
      <alignment horizontal="center" vertical="center"/>
    </xf>
    <xf numFmtId="168" fontId="17" fillId="13" borderId="2" xfId="0" applyNumberFormat="1" applyFont="1" applyFill="1" applyBorder="1" applyAlignment="1">
      <alignment horizontal="right" vertical="center"/>
    </xf>
    <xf numFmtId="0" fontId="18" fillId="0" borderId="2" xfId="0" applyFont="1" applyBorder="1" applyAlignment="1">
      <alignment horizontal="left" vertical="center"/>
    </xf>
    <xf numFmtId="171" fontId="18" fillId="9" borderId="2" xfId="0" applyNumberFormat="1" applyFont="1" applyFill="1" applyBorder="1" applyAlignment="1">
      <alignment horizontal="right" vertical="center"/>
    </xf>
    <xf numFmtId="171" fontId="18" fillId="0" borderId="2" xfId="0" applyNumberFormat="1" applyFont="1" applyBorder="1" applyAlignment="1">
      <alignment horizontal="right" vertical="center"/>
    </xf>
    <xf numFmtId="168" fontId="18" fillId="5" borderId="2" xfId="0" applyNumberFormat="1" applyFont="1" applyFill="1" applyBorder="1" applyAlignment="1">
      <alignment horizontal="right" vertical="center"/>
    </xf>
    <xf numFmtId="171" fontId="18" fillId="14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1" applyFont="1" applyBorder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5" fontId="0" fillId="0" borderId="0" xfId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0" fontId="19" fillId="0" borderId="0" xfId="3" applyAlignment="1">
      <alignment horizontal="center" vertical="center"/>
    </xf>
    <xf numFmtId="10" fontId="0" fillId="0" borderId="0" xfId="0" applyNumberFormat="1"/>
    <xf numFmtId="172" fontId="0" fillId="0" borderId="0" xfId="0" applyNumberFormat="1"/>
    <xf numFmtId="167" fontId="0" fillId="15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3" fontId="0" fillId="0" borderId="0" xfId="2" applyNumberFormat="1" applyFont="1"/>
    <xf numFmtId="1" fontId="0" fillId="0" borderId="0" xfId="1" applyNumberFormat="1" applyFont="1" applyAlignment="1">
      <alignment horizontal="center" vertical="center"/>
    </xf>
    <xf numFmtId="0" fontId="0" fillId="0" borderId="0" xfId="0" applyAlignment="1">
      <alignment wrapText="1"/>
    </xf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65" fontId="0" fillId="15" borderId="1" xfId="1" applyFont="1" applyFill="1" applyBorder="1" applyAlignment="1">
      <alignment horizontal="center"/>
    </xf>
    <xf numFmtId="0" fontId="2" fillId="16" borderId="0" xfId="0" applyFont="1" applyFill="1" applyAlignment="1">
      <alignment horizontal="center" vertical="center"/>
    </xf>
    <xf numFmtId="167" fontId="0" fillId="16" borderId="0" xfId="1" applyNumberFormat="1" applyFont="1" applyFill="1" applyAlignment="1">
      <alignment horizontal="center" vertical="center"/>
    </xf>
    <xf numFmtId="165" fontId="0" fillId="16" borderId="0" xfId="1" applyFont="1" applyFill="1" applyAlignment="1">
      <alignment horizontal="center" vertical="center"/>
    </xf>
    <xf numFmtId="165" fontId="0" fillId="16" borderId="0" xfId="0" applyNumberFormat="1" applyFill="1" applyAlignment="1">
      <alignment horizontal="center" vertical="center"/>
    </xf>
    <xf numFmtId="164" fontId="0" fillId="0" borderId="0" xfId="0" applyNumberFormat="1"/>
    <xf numFmtId="0" fontId="20" fillId="0" borderId="0" xfId="0" applyFont="1"/>
    <xf numFmtId="2" fontId="0" fillId="0" borderId="0" xfId="0" applyNumberFormat="1"/>
    <xf numFmtId="0" fontId="0" fillId="17" borderId="0" xfId="0" applyFill="1"/>
    <xf numFmtId="1" fontId="0" fillId="0" borderId="0" xfId="0" applyNumberFormat="1"/>
    <xf numFmtId="0" fontId="2" fillId="17" borderId="0" xfId="0" applyFont="1" applyFill="1" applyAlignment="1">
      <alignment horizontal="center" vertical="center"/>
    </xf>
    <xf numFmtId="10" fontId="0" fillId="17" borderId="0" xfId="2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0" fillId="0" borderId="3" xfId="0" applyBorder="1"/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/>
    <xf numFmtId="0" fontId="16" fillId="9" borderId="0" xfId="0" applyFont="1" applyFill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0" fontId="0" fillId="0" borderId="6" xfId="0" applyBorder="1"/>
    <xf numFmtId="0" fontId="7" fillId="7" borderId="7" xfId="0" applyFont="1" applyFill="1" applyBorder="1" applyAlignment="1">
      <alignment horizontal="right" vertical="center"/>
    </xf>
    <xf numFmtId="0" fontId="5" fillId="8" borderId="8" xfId="0" applyFont="1" applyFill="1" applyBorder="1" applyAlignment="1">
      <alignment horizontal="right" vertical="center"/>
    </xf>
    <xf numFmtId="0" fontId="0" fillId="0" borderId="9" xfId="0" applyBorder="1"/>
    <xf numFmtId="0" fontId="14" fillId="9" borderId="10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8" xfId="0" applyBorder="1"/>
    <xf numFmtId="0" fontId="11" fillId="11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right" vertical="center"/>
    </xf>
    <xf numFmtId="0" fontId="14" fillId="9" borderId="0" xfId="0" applyFont="1" applyFill="1" applyAlignment="1">
      <alignment horizontal="right" vertical="center"/>
    </xf>
    <xf numFmtId="0" fontId="0" fillId="0" borderId="0" xfId="0"/>
    <xf numFmtId="0" fontId="11" fillId="9" borderId="0" xfId="0" applyFont="1" applyFill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s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1399-279D-46CA-B5AC-517E593D9B8C}">
  <dimension ref="A1:K43"/>
  <sheetViews>
    <sheetView zoomScale="130" zoomScaleNormal="130" workbookViewId="0">
      <selection activeCell="H3" sqref="H3"/>
    </sheetView>
  </sheetViews>
  <sheetFormatPr defaultRowHeight="15" x14ac:dyDescent="0.25"/>
  <cols>
    <col min="1" max="1" width="14.5703125" bestFit="1" customWidth="1"/>
    <col min="2" max="2" width="37.140625" bestFit="1" customWidth="1"/>
    <col min="3" max="3" width="12.28515625" bestFit="1" customWidth="1"/>
    <col min="4" max="4" width="20.85546875" bestFit="1" customWidth="1"/>
    <col min="5" max="5" width="21.85546875" bestFit="1" customWidth="1"/>
    <col min="6" max="6" width="12.28515625" bestFit="1" customWidth="1"/>
    <col min="7" max="7" width="22.28515625" bestFit="1" customWidth="1"/>
    <col min="8" max="8" width="11.28515625" bestFit="1" customWidth="1"/>
    <col min="9" max="9" width="20.42578125" bestFit="1" customWidth="1"/>
    <col min="10" max="10" width="12.28515625" bestFit="1" customWidth="1"/>
    <col min="11" max="11" width="11.7109375" bestFit="1" customWidth="1"/>
  </cols>
  <sheetData>
    <row r="1" spans="1:11" x14ac:dyDescent="0.25">
      <c r="A1" s="44" t="s">
        <v>0</v>
      </c>
      <c r="B1" s="39"/>
      <c r="C1" s="44" t="s">
        <v>2</v>
      </c>
      <c r="D1" s="39" t="s">
        <v>3</v>
      </c>
      <c r="E1" s="44" t="s">
        <v>4</v>
      </c>
      <c r="F1" s="48">
        <f>+F2+F3</f>
        <v>11550</v>
      </c>
      <c r="G1" s="66" t="s">
        <v>5</v>
      </c>
      <c r="H1" s="69">
        <f>+'Amort Schedule'!H14</f>
        <v>1164.23</v>
      </c>
      <c r="I1" s="44" t="s">
        <v>6</v>
      </c>
      <c r="J1" s="39" t="s">
        <v>7</v>
      </c>
    </row>
    <row r="2" spans="1:11" x14ac:dyDescent="0.25">
      <c r="A2" s="44" t="s">
        <v>8</v>
      </c>
      <c r="B2" s="39"/>
      <c r="C2" s="44" t="s">
        <v>9</v>
      </c>
      <c r="D2" s="39" t="s">
        <v>10</v>
      </c>
      <c r="E2" s="44" t="s">
        <v>11</v>
      </c>
      <c r="F2" s="55">
        <v>7000</v>
      </c>
      <c r="G2" s="44" t="s">
        <v>12</v>
      </c>
      <c r="H2" s="49"/>
      <c r="I2" s="44" t="s">
        <v>13</v>
      </c>
      <c r="J2" s="39">
        <v>0</v>
      </c>
    </row>
    <row r="3" spans="1:11" x14ac:dyDescent="0.25">
      <c r="A3" s="44" t="s">
        <v>14</v>
      </c>
      <c r="B3" s="39"/>
      <c r="C3" s="44" t="s">
        <v>16</v>
      </c>
      <c r="D3" s="39" t="s">
        <v>17</v>
      </c>
      <c r="E3" s="66" t="s">
        <v>18</v>
      </c>
      <c r="F3" s="67">
        <f>+IF(F2&lt;=1000,F2*0.8,IF(F2&lt;=2000,F2*0.75,IF(F2&lt;=3000,F2*0.7,IF(F2&lt;=10000,F2*0.65,IF(F2&lt;=15000,F2*0.6,IF(F2&gt;15001,F2*0.5))))))</f>
        <v>4550</v>
      </c>
      <c r="G3" s="75" t="s">
        <v>19</v>
      </c>
      <c r="H3" s="76">
        <f>(IF(F1&lt;=10000,F1*0.35,IF(F1&lt;=20000,(10000*0.35)+((F1-10000)*0.29),IF(F1&lt;=25000,(10000*0.35)+(10000*0.29)+((F1-20000)*0.23),0))))/F1</f>
        <v>0.34194805194805195</v>
      </c>
      <c r="I3" s="44" t="s">
        <v>20</v>
      </c>
      <c r="J3" s="61">
        <f>+J4/H1</f>
        <v>11.239885147082513</v>
      </c>
    </row>
    <row r="4" spans="1:11" x14ac:dyDescent="0.25">
      <c r="A4" s="44" t="s">
        <v>21</v>
      </c>
      <c r="B4" s="39"/>
      <c r="C4" s="44" t="s">
        <v>23</v>
      </c>
      <c r="D4" s="39">
        <v>2024</v>
      </c>
      <c r="E4" s="66" t="s">
        <v>24</v>
      </c>
      <c r="F4" s="68">
        <f>+'Amort Schedule'!H16</f>
        <v>2277.2599999999998</v>
      </c>
      <c r="I4" s="44" t="s">
        <v>25</v>
      </c>
      <c r="J4" s="40">
        <f>+SUMIFS(H11:H46,B11:B46,"Payment")</f>
        <v>13085.811484787873</v>
      </c>
    </row>
    <row r="5" spans="1:11" x14ac:dyDescent="0.25">
      <c r="A5" s="44" t="s">
        <v>26</v>
      </c>
      <c r="B5" s="39"/>
      <c r="C5" s="44" t="s">
        <v>27</v>
      </c>
      <c r="D5" s="40">
        <v>30000</v>
      </c>
      <c r="E5" s="44" t="s">
        <v>28</v>
      </c>
      <c r="F5" s="48">
        <v>25</v>
      </c>
      <c r="G5" s="44" t="s">
        <v>29</v>
      </c>
      <c r="H5" s="42">
        <v>45702</v>
      </c>
      <c r="I5" s="44" t="s">
        <v>30</v>
      </c>
      <c r="J5" s="39"/>
    </row>
    <row r="6" spans="1:11" x14ac:dyDescent="0.25">
      <c r="A6" s="44" t="s">
        <v>31</v>
      </c>
      <c r="B6" s="52"/>
      <c r="C6" s="39"/>
      <c r="D6" s="39"/>
      <c r="E6" s="44" t="s">
        <v>33</v>
      </c>
      <c r="F6" s="48">
        <v>77.75</v>
      </c>
      <c r="G6" s="44" t="s">
        <v>34</v>
      </c>
      <c r="H6" s="42">
        <v>45730</v>
      </c>
      <c r="I6" s="44"/>
      <c r="J6" s="39"/>
    </row>
    <row r="7" spans="1:11" x14ac:dyDescent="0.25">
      <c r="A7" s="39"/>
      <c r="B7" s="39"/>
      <c r="C7" s="39"/>
      <c r="D7" s="39"/>
      <c r="E7" s="44" t="s">
        <v>35</v>
      </c>
      <c r="F7" s="49">
        <f>+((F2+F3+F5+F6)/100)*0.35</f>
        <v>40.784624999999998</v>
      </c>
      <c r="G7" s="44" t="s">
        <v>36</v>
      </c>
      <c r="H7" s="39">
        <v>14</v>
      </c>
      <c r="I7" s="39"/>
      <c r="J7" s="39"/>
    </row>
    <row r="8" spans="1:11" x14ac:dyDescent="0.25">
      <c r="A8" s="39"/>
      <c r="B8" s="39"/>
      <c r="C8" s="39"/>
      <c r="D8" s="39"/>
      <c r="E8" s="44" t="s">
        <v>37</v>
      </c>
      <c r="F8" s="43">
        <f>+F2+F3+F5+F6+F7</f>
        <v>11693.534625</v>
      </c>
      <c r="G8" s="39"/>
      <c r="H8" s="39"/>
      <c r="I8" s="43"/>
      <c r="J8" s="43"/>
      <c r="K8">
        <v>15000</v>
      </c>
    </row>
    <row r="9" spans="1:11" x14ac:dyDescent="0.25">
      <c r="K9">
        <f>9000/12</f>
        <v>750</v>
      </c>
    </row>
    <row r="10" spans="1:11" x14ac:dyDescent="0.25">
      <c r="A10" s="46" t="s">
        <v>38</v>
      </c>
      <c r="B10" s="46" t="s">
        <v>39</v>
      </c>
      <c r="C10" s="46" t="s">
        <v>4</v>
      </c>
      <c r="D10" s="46" t="s">
        <v>40</v>
      </c>
      <c r="E10" s="46" t="s">
        <v>41</v>
      </c>
      <c r="F10" s="46" t="s">
        <v>42</v>
      </c>
      <c r="G10" s="46" t="s">
        <v>43</v>
      </c>
      <c r="H10" s="46" t="s">
        <v>44</v>
      </c>
      <c r="I10" s="46" t="s">
        <v>45</v>
      </c>
      <c r="K10">
        <f>52.5+77.75+25</f>
        <v>155.25</v>
      </c>
    </row>
    <row r="11" spans="1:11" x14ac:dyDescent="0.25">
      <c r="A11" s="45">
        <v>45702</v>
      </c>
      <c r="B11" s="57" t="s">
        <v>46</v>
      </c>
      <c r="C11" s="47">
        <f>+F2</f>
        <v>7000</v>
      </c>
      <c r="D11" s="47">
        <f>+C11</f>
        <v>7000</v>
      </c>
      <c r="E11" s="47">
        <v>0</v>
      </c>
      <c r="F11" s="47">
        <v>0</v>
      </c>
      <c r="G11" s="47">
        <v>0</v>
      </c>
      <c r="H11" s="47">
        <f>+C11</f>
        <v>7000</v>
      </c>
      <c r="I11" s="47">
        <f>+C11</f>
        <v>7000</v>
      </c>
      <c r="K11" s="3">
        <f>+E16</f>
        <v>262.92041986230208</v>
      </c>
    </row>
    <row r="12" spans="1:11" x14ac:dyDescent="0.25">
      <c r="A12" s="45">
        <v>45702</v>
      </c>
      <c r="B12" s="57" t="s">
        <v>18</v>
      </c>
      <c r="C12" s="47">
        <f>+F3</f>
        <v>4550</v>
      </c>
      <c r="D12" s="47">
        <f t="shared" ref="D12:D42" si="0">+C12+D11</f>
        <v>11550</v>
      </c>
      <c r="E12" s="47">
        <v>0</v>
      </c>
      <c r="F12" s="47">
        <v>0</v>
      </c>
      <c r="G12" s="47">
        <v>0</v>
      </c>
      <c r="H12" s="47">
        <f>+C12</f>
        <v>4550</v>
      </c>
      <c r="I12" s="47">
        <f>+I11+C12</f>
        <v>11550</v>
      </c>
      <c r="K12" s="3">
        <f>+K11+K10+K9+K8</f>
        <v>16168.170419862301</v>
      </c>
    </row>
    <row r="13" spans="1:11" x14ac:dyDescent="0.25">
      <c r="A13" s="45">
        <v>45702</v>
      </c>
      <c r="B13" s="57" t="s">
        <v>47</v>
      </c>
      <c r="C13" s="47">
        <f>+F5</f>
        <v>25</v>
      </c>
      <c r="D13" s="47">
        <f t="shared" si="0"/>
        <v>11575</v>
      </c>
      <c r="E13" s="47">
        <v>0</v>
      </c>
      <c r="F13" s="47">
        <v>0</v>
      </c>
      <c r="G13" s="47">
        <v>0</v>
      </c>
      <c r="H13" s="47">
        <f>+C13</f>
        <v>25</v>
      </c>
      <c r="I13" s="47">
        <f>+I12+C13</f>
        <v>11575</v>
      </c>
    </row>
    <row r="14" spans="1:11" x14ac:dyDescent="0.25">
      <c r="A14" s="45">
        <v>45702</v>
      </c>
      <c r="B14" s="57" t="s">
        <v>48</v>
      </c>
      <c r="C14" s="47">
        <f>+F6</f>
        <v>77.75</v>
      </c>
      <c r="D14" s="47">
        <f t="shared" si="0"/>
        <v>11652.75</v>
      </c>
      <c r="E14" s="47">
        <v>0</v>
      </c>
      <c r="F14" s="47">
        <v>0</v>
      </c>
      <c r="G14" s="47">
        <v>0</v>
      </c>
      <c r="H14" s="47">
        <f>+C14</f>
        <v>77.75</v>
      </c>
      <c r="I14" s="47">
        <f>+I13+C14</f>
        <v>11652.75</v>
      </c>
    </row>
    <row r="15" spans="1:11" x14ac:dyDescent="0.25">
      <c r="A15" s="45">
        <v>45702</v>
      </c>
      <c r="B15" s="57" t="s">
        <v>49</v>
      </c>
      <c r="C15" s="47">
        <f>+F7</f>
        <v>40.784624999999998</v>
      </c>
      <c r="D15" s="47">
        <f t="shared" si="0"/>
        <v>11693.534625</v>
      </c>
      <c r="E15" s="47">
        <v>0</v>
      </c>
      <c r="F15" s="47">
        <v>0</v>
      </c>
      <c r="G15" s="47">
        <v>0</v>
      </c>
      <c r="H15" s="47">
        <f>+C15</f>
        <v>40.784624999999998</v>
      </c>
      <c r="I15" s="47">
        <f>+I14+C15</f>
        <v>11693.534625</v>
      </c>
    </row>
    <row r="16" spans="1:11" x14ac:dyDescent="0.25">
      <c r="A16" s="45">
        <v>45726</v>
      </c>
      <c r="B16" s="57" t="s">
        <v>41</v>
      </c>
      <c r="C16" s="47"/>
      <c r="D16" s="47">
        <f t="shared" si="0"/>
        <v>11693.534625</v>
      </c>
      <c r="E16" s="47">
        <f>+(D16*($H$3/365))*(A16-A15)</f>
        <v>262.92041986230208</v>
      </c>
      <c r="F16" s="47">
        <v>0</v>
      </c>
      <c r="G16" s="47">
        <v>0</v>
      </c>
      <c r="H16" s="47">
        <f>+E16</f>
        <v>262.92041986230208</v>
      </c>
      <c r="I16" s="47">
        <f>+I15+E16</f>
        <v>11956.455044862303</v>
      </c>
    </row>
    <row r="17" spans="1:9" x14ac:dyDescent="0.25">
      <c r="A17" s="45">
        <v>45726</v>
      </c>
      <c r="B17" s="64" t="s">
        <v>50</v>
      </c>
      <c r="C17" s="65">
        <f>-E17-H1</f>
        <v>-901.30958013769794</v>
      </c>
      <c r="D17" s="65">
        <f t="shared" si="0"/>
        <v>10792.225044862302</v>
      </c>
      <c r="E17" s="65">
        <f>-E16</f>
        <v>-262.92041986230208</v>
      </c>
      <c r="F17" s="65">
        <v>0</v>
      </c>
      <c r="G17" s="65">
        <v>0</v>
      </c>
      <c r="H17" s="65">
        <f>-C17-E17</f>
        <v>1164.23</v>
      </c>
      <c r="I17" s="65">
        <f>+I16-H17</f>
        <v>10792.225044862304</v>
      </c>
    </row>
    <row r="18" spans="1:9" x14ac:dyDescent="0.25">
      <c r="A18" s="45">
        <v>45761</v>
      </c>
      <c r="B18" s="57" t="s">
        <v>41</v>
      </c>
      <c r="C18" s="47"/>
      <c r="D18" s="47">
        <f t="shared" si="0"/>
        <v>10792.225044862302</v>
      </c>
      <c r="E18" s="47">
        <f>+(D18*($H$3/365))*(A18-A17)</f>
        <v>353.87208646478757</v>
      </c>
      <c r="F18" s="47">
        <v>0</v>
      </c>
      <c r="G18" s="47">
        <v>0</v>
      </c>
      <c r="H18" s="47">
        <f>+E18</f>
        <v>353.87208646478757</v>
      </c>
      <c r="I18" s="47">
        <f>+I17+E18</f>
        <v>11146.097131327091</v>
      </c>
    </row>
    <row r="19" spans="1:9" x14ac:dyDescent="0.25">
      <c r="A19" s="45">
        <v>45759</v>
      </c>
      <c r="B19" s="64" t="s">
        <v>50</v>
      </c>
      <c r="C19" s="65">
        <f>-E19-H1</f>
        <v>-810.35791353521245</v>
      </c>
      <c r="D19" s="65">
        <f t="shared" si="0"/>
        <v>9981.8671313270897</v>
      </c>
      <c r="E19" s="65">
        <f>-E18</f>
        <v>-353.87208646478757</v>
      </c>
      <c r="F19" s="65">
        <v>0</v>
      </c>
      <c r="G19" s="65">
        <v>0</v>
      </c>
      <c r="H19" s="65">
        <f>-C19-E19</f>
        <v>1164.23</v>
      </c>
      <c r="I19" s="65">
        <f>+I18-H19</f>
        <v>9981.8671313270916</v>
      </c>
    </row>
    <row r="20" spans="1:9" hidden="1" x14ac:dyDescent="0.25">
      <c r="A20" s="45">
        <v>45803</v>
      </c>
      <c r="B20" s="57" t="s">
        <v>42</v>
      </c>
      <c r="C20" s="47"/>
      <c r="D20" s="47">
        <f t="shared" si="0"/>
        <v>9981.8671313270897</v>
      </c>
      <c r="E20" s="47"/>
      <c r="F20" s="47">
        <v>15</v>
      </c>
      <c r="G20" s="47"/>
      <c r="H20" s="47">
        <f>+F20</f>
        <v>15</v>
      </c>
      <c r="I20" s="47">
        <f>+I19+H20</f>
        <v>9996.8671313270916</v>
      </c>
    </row>
    <row r="21" spans="1:9" hidden="1" x14ac:dyDescent="0.25">
      <c r="A21" s="45">
        <v>45807</v>
      </c>
      <c r="B21" s="57" t="s">
        <v>41</v>
      </c>
      <c r="C21" s="47"/>
      <c r="D21" s="47">
        <f t="shared" si="0"/>
        <v>9981.8671313270897</v>
      </c>
      <c r="E21" s="47">
        <f>+(D21*($H$3/360))*(A21-A19)</f>
        <v>455.10400271487833</v>
      </c>
      <c r="F21" s="47"/>
      <c r="G21" s="47"/>
      <c r="H21" s="47">
        <f>+E21</f>
        <v>455.10400271487833</v>
      </c>
      <c r="I21" s="47">
        <f>+I20+H21</f>
        <v>10451.971134041971</v>
      </c>
    </row>
    <row r="22" spans="1:9" hidden="1" x14ac:dyDescent="0.25">
      <c r="A22" s="45">
        <v>45807</v>
      </c>
      <c r="B22" s="64" t="s">
        <v>50</v>
      </c>
      <c r="C22" s="65">
        <f>-E22-500</f>
        <v>-44.895997285121666</v>
      </c>
      <c r="D22" s="65">
        <f t="shared" si="0"/>
        <v>9936.9711340419672</v>
      </c>
      <c r="E22" s="65">
        <f>-E21</f>
        <v>-455.10400271487833</v>
      </c>
      <c r="F22" s="65">
        <v>0</v>
      </c>
      <c r="G22" s="65">
        <v>0</v>
      </c>
      <c r="H22" s="65">
        <f>-C22-E22</f>
        <v>500</v>
      </c>
      <c r="I22" s="65">
        <f>+I21-H22</f>
        <v>9951.9711340419708</v>
      </c>
    </row>
    <row r="23" spans="1:9" hidden="1" x14ac:dyDescent="0.25">
      <c r="A23" s="45">
        <v>45698</v>
      </c>
      <c r="B23" s="57" t="s">
        <v>51</v>
      </c>
      <c r="C23" s="47"/>
      <c r="D23" s="47">
        <f t="shared" si="0"/>
        <v>9936.9711340419672</v>
      </c>
      <c r="E23" s="47"/>
      <c r="F23" s="47">
        <v>75</v>
      </c>
      <c r="G23" s="47">
        <v>0</v>
      </c>
      <c r="H23" s="47">
        <v>75</v>
      </c>
      <c r="I23" s="47">
        <f>+I22+H23</f>
        <v>10026.971134041971</v>
      </c>
    </row>
    <row r="24" spans="1:9" hidden="1" x14ac:dyDescent="0.25">
      <c r="A24" s="45">
        <v>45703</v>
      </c>
      <c r="B24" s="57" t="s">
        <v>41</v>
      </c>
      <c r="C24" s="47"/>
      <c r="D24" s="47">
        <f t="shared" si="0"/>
        <v>9936.9711340419672</v>
      </c>
      <c r="E24" s="47">
        <f>+(D24*($H$3/360))*(A24-A22)</f>
        <v>-981.62362178101728</v>
      </c>
      <c r="F24" s="47">
        <v>0</v>
      </c>
      <c r="G24" s="47">
        <v>0</v>
      </c>
      <c r="H24" s="47">
        <f>+E24</f>
        <v>-981.62362178101728</v>
      </c>
      <c r="I24" s="47">
        <f>+I23+H24</f>
        <v>9045.3475122609543</v>
      </c>
    </row>
    <row r="25" spans="1:9" hidden="1" x14ac:dyDescent="0.25">
      <c r="A25" s="63">
        <v>45703</v>
      </c>
      <c r="B25" s="64" t="s">
        <v>50</v>
      </c>
      <c r="C25" s="65">
        <f>-E25-H1</f>
        <v>-2145.8536217810174</v>
      </c>
      <c r="D25" s="65">
        <f t="shared" si="0"/>
        <v>7791.1175122609493</v>
      </c>
      <c r="E25" s="65">
        <f>-E24</f>
        <v>981.62362178101728</v>
      </c>
      <c r="F25" s="65"/>
      <c r="G25" s="65"/>
      <c r="H25" s="65">
        <f>-C25-E25</f>
        <v>1164.23</v>
      </c>
      <c r="I25" s="65">
        <f>+I24-H25</f>
        <v>7881.1175122609548</v>
      </c>
    </row>
    <row r="26" spans="1:9" hidden="1" x14ac:dyDescent="0.25">
      <c r="A26" s="45">
        <v>45726</v>
      </c>
      <c r="B26" s="57" t="s">
        <v>41</v>
      </c>
      <c r="C26" s="47"/>
      <c r="D26" s="47">
        <f t="shared" si="0"/>
        <v>7791.1175122609493</v>
      </c>
      <c r="E26" s="47">
        <f>+(D26*($H$3/360))*(A26-A25)</f>
        <v>170.21005967713234</v>
      </c>
      <c r="F26" s="47">
        <v>0</v>
      </c>
      <c r="G26" s="47">
        <v>0</v>
      </c>
      <c r="H26" s="47">
        <f>+E26</f>
        <v>170.21005967713234</v>
      </c>
      <c r="I26" s="47">
        <f>+I25+H26</f>
        <v>8051.3275719380872</v>
      </c>
    </row>
    <row r="27" spans="1:9" hidden="1" x14ac:dyDescent="0.25">
      <c r="A27" s="63">
        <v>45726</v>
      </c>
      <c r="B27" s="64" t="s">
        <v>50</v>
      </c>
      <c r="C27" s="65">
        <f>-E27-H1</f>
        <v>-994.01994032286768</v>
      </c>
      <c r="D27" s="65">
        <f t="shared" si="0"/>
        <v>6797.0975719380813</v>
      </c>
      <c r="E27" s="65">
        <f>-E26</f>
        <v>-170.21005967713234</v>
      </c>
      <c r="F27" s="65"/>
      <c r="G27" s="65"/>
      <c r="H27" s="65">
        <f>-C27-E27</f>
        <v>1164.23</v>
      </c>
      <c r="I27" s="65">
        <f>+I26-H27</f>
        <v>6887.0975719380876</v>
      </c>
    </row>
    <row r="28" spans="1:9" hidden="1" x14ac:dyDescent="0.25">
      <c r="A28" s="45">
        <v>45757</v>
      </c>
      <c r="B28" s="57" t="s">
        <v>41</v>
      </c>
      <c r="C28" s="47"/>
      <c r="D28" s="47">
        <f t="shared" si="0"/>
        <v>6797.0975719380813</v>
      </c>
      <c r="E28" s="47">
        <f>+(D28*($H$3/360))*(A28-A27)</f>
        <v>200.14411800660247</v>
      </c>
      <c r="F28" s="47">
        <v>0</v>
      </c>
      <c r="G28" s="47">
        <v>0</v>
      </c>
      <c r="H28" s="47">
        <f>+E28</f>
        <v>200.14411800660247</v>
      </c>
      <c r="I28" s="47">
        <f>+I27+H28</f>
        <v>7087.2416899446898</v>
      </c>
    </row>
    <row r="29" spans="1:9" hidden="1" x14ac:dyDescent="0.25">
      <c r="A29" s="63">
        <v>45757</v>
      </c>
      <c r="B29" s="64" t="s">
        <v>50</v>
      </c>
      <c r="C29" s="65">
        <f>-E29-H1</f>
        <v>-964.08588199339761</v>
      </c>
      <c r="D29" s="65">
        <f t="shared" si="0"/>
        <v>5833.0116899446839</v>
      </c>
      <c r="E29" s="65">
        <f>-E28</f>
        <v>-200.14411800660247</v>
      </c>
      <c r="F29" s="65"/>
      <c r="G29" s="65"/>
      <c r="H29" s="65">
        <f>-C29-E29</f>
        <v>1164.23</v>
      </c>
      <c r="I29" s="65">
        <f>+I28-H29</f>
        <v>5923.0116899446894</v>
      </c>
    </row>
    <row r="30" spans="1:9" hidden="1" x14ac:dyDescent="0.25">
      <c r="A30" s="45">
        <v>45799</v>
      </c>
      <c r="B30" s="57" t="s">
        <v>42</v>
      </c>
      <c r="C30" s="47"/>
      <c r="D30" s="47">
        <f t="shared" si="0"/>
        <v>5833.0116899446839</v>
      </c>
      <c r="E30" s="47"/>
      <c r="F30" s="47">
        <v>15</v>
      </c>
      <c r="G30" s="47"/>
      <c r="H30" s="47">
        <f>+F30</f>
        <v>15</v>
      </c>
      <c r="I30" s="47">
        <f>+I29+H30</f>
        <v>5938.0116899446894</v>
      </c>
    </row>
    <row r="31" spans="1:9" hidden="1" x14ac:dyDescent="0.25">
      <c r="A31" s="45">
        <v>45818</v>
      </c>
      <c r="B31" s="57" t="s">
        <v>51</v>
      </c>
      <c r="C31" s="47"/>
      <c r="D31" s="47">
        <f t="shared" si="0"/>
        <v>5833.0116899446839</v>
      </c>
      <c r="E31" s="47"/>
      <c r="F31" s="47">
        <v>75</v>
      </c>
      <c r="G31" s="47">
        <v>0</v>
      </c>
      <c r="H31" s="47">
        <v>75</v>
      </c>
      <c r="I31" s="47">
        <f>+I30+H31</f>
        <v>6013.0116899446894</v>
      </c>
    </row>
    <row r="32" spans="1:9" hidden="1" x14ac:dyDescent="0.25">
      <c r="A32" s="45">
        <v>45833</v>
      </c>
      <c r="B32" s="57" t="s">
        <v>41</v>
      </c>
      <c r="C32" s="47"/>
      <c r="D32" s="47">
        <f t="shared" si="0"/>
        <v>5833.0116899446839</v>
      </c>
      <c r="E32" s="47">
        <f>+(D32*($H$3/360))*(A32-A29)</f>
        <v>421.07947447743538</v>
      </c>
      <c r="F32" s="47">
        <v>0</v>
      </c>
      <c r="G32" s="47">
        <v>0</v>
      </c>
      <c r="H32" s="47">
        <f>+E32</f>
        <v>421.07947447743538</v>
      </c>
      <c r="I32" s="47">
        <f>+I31+H32</f>
        <v>6434.0911644221251</v>
      </c>
    </row>
    <row r="33" spans="1:9" hidden="1" x14ac:dyDescent="0.25">
      <c r="A33" s="63">
        <v>45833</v>
      </c>
      <c r="B33" s="64" t="s">
        <v>50</v>
      </c>
      <c r="C33" s="65">
        <f>-E33-H1</f>
        <v>-743.15052552256464</v>
      </c>
      <c r="D33" s="65">
        <f t="shared" si="0"/>
        <v>5089.8611644221191</v>
      </c>
      <c r="E33" s="65">
        <f>-E32</f>
        <v>-421.07947447743538</v>
      </c>
      <c r="F33" s="65"/>
      <c r="G33" s="65"/>
      <c r="H33" s="65">
        <f>-C33-E33</f>
        <v>1164.23</v>
      </c>
      <c r="I33" s="65">
        <f>+I32-H33</f>
        <v>5269.8611644221255</v>
      </c>
    </row>
    <row r="34" spans="1:9" hidden="1" x14ac:dyDescent="0.25">
      <c r="A34" s="45">
        <v>45848</v>
      </c>
      <c r="B34" s="57" t="s">
        <v>41</v>
      </c>
      <c r="C34" s="47"/>
      <c r="D34" s="47">
        <f t="shared" si="0"/>
        <v>5089.8611644221191</v>
      </c>
      <c r="E34" s="47">
        <f>+(D34*($H$3/360))*(A34-A32)</f>
        <v>72.519504577507789</v>
      </c>
      <c r="F34" s="47">
        <v>0</v>
      </c>
      <c r="G34" s="47">
        <v>0</v>
      </c>
      <c r="H34" s="47">
        <f>+E34</f>
        <v>72.519504577507789</v>
      </c>
      <c r="I34" s="47">
        <f>+I33+H34</f>
        <v>5342.3806689996336</v>
      </c>
    </row>
    <row r="35" spans="1:9" hidden="1" x14ac:dyDescent="0.25">
      <c r="A35" s="63">
        <v>45848</v>
      </c>
      <c r="B35" s="64" t="s">
        <v>50</v>
      </c>
      <c r="C35" s="65">
        <f>-E35-H1</f>
        <v>-1091.7104954224922</v>
      </c>
      <c r="D35" s="65">
        <f t="shared" si="0"/>
        <v>3998.1506689996268</v>
      </c>
      <c r="E35" s="65">
        <f>-E34</f>
        <v>-72.519504577507789</v>
      </c>
      <c r="F35" s="65"/>
      <c r="G35" s="65"/>
      <c r="H35" s="65">
        <f>-C35-E35</f>
        <v>1164.23</v>
      </c>
      <c r="I35" s="65">
        <f>+I34-H35</f>
        <v>4178.1506689996331</v>
      </c>
    </row>
    <row r="36" spans="1:9" hidden="1" x14ac:dyDescent="0.25">
      <c r="A36" s="45">
        <v>45879</v>
      </c>
      <c r="B36" s="57" t="s">
        <v>41</v>
      </c>
      <c r="C36" s="47"/>
      <c r="D36" s="47">
        <f t="shared" si="0"/>
        <v>3998.1506689996268</v>
      </c>
      <c r="E36" s="47">
        <f>+(D36*($H$3/360))*(A36-A34)</f>
        <v>117.72765225676642</v>
      </c>
      <c r="F36" s="47">
        <v>0</v>
      </c>
      <c r="G36" s="47">
        <v>0</v>
      </c>
      <c r="H36" s="47">
        <f>+E36</f>
        <v>117.72765225676642</v>
      </c>
      <c r="I36" s="47">
        <f>+I35+H36</f>
        <v>4295.8783212563994</v>
      </c>
    </row>
    <row r="37" spans="1:9" hidden="1" x14ac:dyDescent="0.25">
      <c r="A37" s="63">
        <v>45879</v>
      </c>
      <c r="B37" s="64" t="s">
        <v>50</v>
      </c>
      <c r="C37" s="65">
        <f>-E37-H1</f>
        <v>-1046.5023477432337</v>
      </c>
      <c r="D37" s="65">
        <f t="shared" si="0"/>
        <v>2951.648321256393</v>
      </c>
      <c r="E37" s="65">
        <f>-E36</f>
        <v>-117.72765225676642</v>
      </c>
      <c r="F37" s="65"/>
      <c r="G37" s="65"/>
      <c r="H37" s="65">
        <f>-C37-E37</f>
        <v>1164.23</v>
      </c>
      <c r="I37" s="65">
        <f>+I36-H37</f>
        <v>3131.6483212563994</v>
      </c>
    </row>
    <row r="38" spans="1:9" hidden="1" x14ac:dyDescent="0.25">
      <c r="A38" s="45">
        <v>45910</v>
      </c>
      <c r="B38" s="57" t="s">
        <v>41</v>
      </c>
      <c r="C38" s="47"/>
      <c r="D38" s="47">
        <f t="shared" si="0"/>
        <v>2951.648321256393</v>
      </c>
      <c r="E38" s="47">
        <f>+(D38*($H$3/360))*(A38-A36)</f>
        <v>86.912839439361676</v>
      </c>
      <c r="F38" s="47">
        <v>0</v>
      </c>
      <c r="G38" s="47">
        <v>0</v>
      </c>
      <c r="H38" s="47">
        <f>+E38</f>
        <v>86.912839439361676</v>
      </c>
      <c r="I38" s="47">
        <f>+I37+H38</f>
        <v>3218.5611606957609</v>
      </c>
    </row>
    <row r="39" spans="1:9" hidden="1" x14ac:dyDescent="0.25">
      <c r="A39" s="63">
        <v>45910</v>
      </c>
      <c r="B39" s="64" t="s">
        <v>50</v>
      </c>
      <c r="C39" s="65">
        <f>-E39-H1</f>
        <v>-1077.3171605606383</v>
      </c>
      <c r="D39" s="65">
        <f t="shared" si="0"/>
        <v>1874.3311606957548</v>
      </c>
      <c r="E39" s="65">
        <f>-E38</f>
        <v>-86.912839439361676</v>
      </c>
      <c r="F39" s="65"/>
      <c r="G39" s="65"/>
      <c r="H39" s="65">
        <f>-C39-E39</f>
        <v>1164.23</v>
      </c>
      <c r="I39" s="65">
        <f>+I38-H39</f>
        <v>2054.3311606957609</v>
      </c>
    </row>
    <row r="40" spans="1:9" hidden="1" x14ac:dyDescent="0.25">
      <c r="A40" s="45">
        <v>45940</v>
      </c>
      <c r="B40" s="57" t="s">
        <v>41</v>
      </c>
      <c r="C40" s="47"/>
      <c r="D40" s="47">
        <f t="shared" si="0"/>
        <v>1874.3311606957548</v>
      </c>
      <c r="E40" s="47">
        <f>+(D40*($H$3/360))*(A40-A38)</f>
        <v>53.410324092120376</v>
      </c>
      <c r="F40" s="47">
        <v>0</v>
      </c>
      <c r="G40" s="47">
        <v>0</v>
      </c>
      <c r="H40" s="47">
        <f>+E40</f>
        <v>53.410324092120376</v>
      </c>
      <c r="I40" s="47">
        <f>+I39+H40</f>
        <v>2107.7414847878813</v>
      </c>
    </row>
    <row r="41" spans="1:9" hidden="1" x14ac:dyDescent="0.25">
      <c r="A41" s="63">
        <v>45940</v>
      </c>
      <c r="B41" s="64" t="s">
        <v>50</v>
      </c>
      <c r="C41" s="65">
        <f>-D40</f>
        <v>-1874.3311606957548</v>
      </c>
      <c r="D41" s="65">
        <f t="shared" si="0"/>
        <v>0</v>
      </c>
      <c r="E41" s="65">
        <f>-E40</f>
        <v>-53.410324092120376</v>
      </c>
      <c r="F41" s="65"/>
      <c r="G41" s="65"/>
      <c r="H41" s="65">
        <f>-C41-E41</f>
        <v>1927.7414847878752</v>
      </c>
      <c r="I41" s="65">
        <f>+I40-H41</f>
        <v>180.00000000000614</v>
      </c>
    </row>
    <row r="42" spans="1:9" hidden="1" x14ac:dyDescent="0.25">
      <c r="A42" s="63">
        <v>45940</v>
      </c>
      <c r="B42" s="64" t="s">
        <v>50</v>
      </c>
      <c r="C42" s="65">
        <f>-D41</f>
        <v>0</v>
      </c>
      <c r="D42" s="65">
        <f t="shared" si="0"/>
        <v>0</v>
      </c>
      <c r="E42" s="65"/>
      <c r="F42" s="65">
        <f>-(+SUM(F11:F41))</f>
        <v>-180</v>
      </c>
      <c r="G42" s="65"/>
      <c r="H42" s="65">
        <f>-F42</f>
        <v>180</v>
      </c>
      <c r="I42" s="65">
        <f>+I41-H42</f>
        <v>6.1390892369672656E-12</v>
      </c>
    </row>
    <row r="43" spans="1:9" x14ac:dyDescent="0.25">
      <c r="E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8B10-BE7C-483E-BEB8-58346E4AB688}">
  <dimension ref="A1:M48"/>
  <sheetViews>
    <sheetView zoomScale="101" workbookViewId="0">
      <selection activeCell="D2" sqref="D2:E12"/>
    </sheetView>
  </sheetViews>
  <sheetFormatPr defaultRowHeight="15" x14ac:dyDescent="0.25"/>
  <cols>
    <col min="1" max="1" width="24.85546875" bestFit="1" customWidth="1"/>
    <col min="2" max="2" width="43.85546875" bestFit="1" customWidth="1"/>
    <col min="4" max="4" width="23" bestFit="1" customWidth="1"/>
    <col min="5" max="5" width="63.42578125" bestFit="1" customWidth="1"/>
    <col min="6" max="6" width="63.85546875" bestFit="1" customWidth="1"/>
    <col min="7" max="7" width="23" bestFit="1" customWidth="1"/>
    <col min="8" max="8" width="21.85546875" bestFit="1" customWidth="1"/>
    <col min="10" max="10" width="22.28515625" bestFit="1" customWidth="1"/>
    <col min="12" max="12" width="20.42578125" bestFit="1" customWidth="1"/>
  </cols>
  <sheetData>
    <row r="1" spans="1:13" x14ac:dyDescent="0.25">
      <c r="A1" s="4" t="s">
        <v>14</v>
      </c>
      <c r="B1" s="4" t="s">
        <v>21</v>
      </c>
      <c r="D1" s="59" t="s">
        <v>0</v>
      </c>
      <c r="E1" s="56" t="s">
        <v>89</v>
      </c>
      <c r="F1" s="58" t="s">
        <v>90</v>
      </c>
      <c r="G1" s="39"/>
      <c r="I1" s="48"/>
      <c r="K1" s="43"/>
      <c r="M1" s="39"/>
    </row>
    <row r="2" spans="1:13" x14ac:dyDescent="0.25">
      <c r="A2" s="56" t="s">
        <v>91</v>
      </c>
      <c r="B2" s="56" t="s">
        <v>92</v>
      </c>
      <c r="D2" s="59" t="s">
        <v>8</v>
      </c>
      <c r="E2" s="58" t="s">
        <v>93</v>
      </c>
      <c r="F2" s="56" t="s">
        <v>94</v>
      </c>
      <c r="G2" s="39"/>
      <c r="K2" s="49"/>
      <c r="M2" s="39"/>
    </row>
    <row r="3" spans="1:13" x14ac:dyDescent="0.25">
      <c r="A3" s="56" t="s">
        <v>95</v>
      </c>
      <c r="B3" s="56" t="s">
        <v>96</v>
      </c>
      <c r="D3" s="59" t="s">
        <v>14</v>
      </c>
      <c r="E3" s="58" t="s">
        <v>97</v>
      </c>
      <c r="F3" s="56" t="s">
        <v>98</v>
      </c>
      <c r="G3" s="39"/>
      <c r="I3" s="48"/>
      <c r="K3" s="50"/>
      <c r="M3" s="51"/>
    </row>
    <row r="4" spans="1:13" x14ac:dyDescent="0.25">
      <c r="A4" s="56" t="s">
        <v>99</v>
      </c>
      <c r="B4" s="56" t="s">
        <v>100</v>
      </c>
      <c r="D4" s="59" t="s">
        <v>21</v>
      </c>
      <c r="E4" s="58" t="s">
        <v>101</v>
      </c>
      <c r="F4" s="56" t="s">
        <v>102</v>
      </c>
      <c r="G4" s="39"/>
      <c r="I4" s="48"/>
      <c r="K4" s="42"/>
      <c r="M4" s="51"/>
    </row>
    <row r="5" spans="1:13" x14ac:dyDescent="0.25">
      <c r="A5" s="56" t="s">
        <v>103</v>
      </c>
      <c r="B5" s="56" t="s">
        <v>104</v>
      </c>
      <c r="D5" s="59" t="s">
        <v>26</v>
      </c>
      <c r="E5" s="58" t="s">
        <v>105</v>
      </c>
      <c r="F5" s="56" t="s">
        <v>106</v>
      </c>
      <c r="G5" s="40"/>
      <c r="I5" s="48"/>
      <c r="K5" s="39"/>
      <c r="L5" s="44"/>
      <c r="M5" s="39"/>
    </row>
    <row r="6" spans="1:13" x14ac:dyDescent="0.25">
      <c r="A6" s="56" t="s">
        <v>15</v>
      </c>
      <c r="B6" s="56" t="s">
        <v>107</v>
      </c>
      <c r="D6" s="59" t="s">
        <v>31</v>
      </c>
      <c r="E6" s="58" t="s">
        <v>108</v>
      </c>
      <c r="F6" s="58" t="s">
        <v>109</v>
      </c>
      <c r="G6" s="39"/>
      <c r="I6" s="48"/>
      <c r="K6" s="39"/>
      <c r="L6" s="44"/>
      <c r="M6" s="39"/>
    </row>
    <row r="7" spans="1:13" x14ac:dyDescent="0.25">
      <c r="A7" s="56" t="s">
        <v>110</v>
      </c>
      <c r="B7" s="56" t="s">
        <v>111</v>
      </c>
      <c r="D7" s="59" t="s">
        <v>2</v>
      </c>
      <c r="E7" s="58" t="s">
        <v>112</v>
      </c>
      <c r="F7" s="58" t="s">
        <v>113</v>
      </c>
      <c r="G7" s="39"/>
      <c r="I7" s="48"/>
      <c r="J7" s="39"/>
      <c r="K7" s="39"/>
      <c r="L7" s="39"/>
      <c r="M7" s="39"/>
    </row>
    <row r="8" spans="1:13" x14ac:dyDescent="0.25">
      <c r="A8" s="56" t="s">
        <v>114</v>
      </c>
      <c r="B8" s="56" t="s">
        <v>115</v>
      </c>
      <c r="D8" s="59" t="s">
        <v>9</v>
      </c>
      <c r="E8" s="58" t="s">
        <v>116</v>
      </c>
      <c r="F8" s="58" t="s">
        <v>117</v>
      </c>
      <c r="G8" s="39" t="s">
        <v>211</v>
      </c>
      <c r="I8" s="43"/>
      <c r="J8" s="39"/>
      <c r="K8" s="39"/>
      <c r="L8" s="39"/>
      <c r="M8" s="39"/>
    </row>
    <row r="9" spans="1:13" x14ac:dyDescent="0.25">
      <c r="A9" s="56" t="s">
        <v>118</v>
      </c>
      <c r="B9" s="56" t="s">
        <v>119</v>
      </c>
      <c r="D9" s="59" t="s">
        <v>16</v>
      </c>
      <c r="E9" s="58" t="s">
        <v>120</v>
      </c>
      <c r="F9" s="56" t="s">
        <v>121</v>
      </c>
      <c r="G9" t="s">
        <v>11</v>
      </c>
      <c r="H9">
        <v>1500</v>
      </c>
    </row>
    <row r="10" spans="1:13" x14ac:dyDescent="0.25">
      <c r="A10" s="56" t="s">
        <v>122</v>
      </c>
      <c r="B10" s="56" t="s">
        <v>123</v>
      </c>
      <c r="D10" s="59" t="s">
        <v>23</v>
      </c>
      <c r="E10" s="58" t="s">
        <v>124</v>
      </c>
      <c r="F10" s="56" t="s">
        <v>125</v>
      </c>
      <c r="G10" t="s">
        <v>18</v>
      </c>
      <c r="H10">
        <f>+H9*75%</f>
        <v>1125</v>
      </c>
      <c r="J10" s="4"/>
    </row>
    <row r="11" spans="1:13" x14ac:dyDescent="0.25">
      <c r="A11" s="56" t="s">
        <v>126</v>
      </c>
      <c r="B11" s="56" t="s">
        <v>127</v>
      </c>
      <c r="D11" s="59" t="s">
        <v>27</v>
      </c>
      <c r="E11" s="58" t="s">
        <v>128</v>
      </c>
      <c r="F11" s="56" t="s">
        <v>129</v>
      </c>
      <c r="G11" s="59" t="s">
        <v>145</v>
      </c>
      <c r="H11" s="73">
        <v>25</v>
      </c>
    </row>
    <row r="12" spans="1:13" x14ac:dyDescent="0.25">
      <c r="A12" s="56" t="s">
        <v>130</v>
      </c>
      <c r="B12" s="56" t="s">
        <v>131</v>
      </c>
      <c r="D12" s="59" t="s">
        <v>4</v>
      </c>
      <c r="E12" s="58" t="s">
        <v>132</v>
      </c>
      <c r="F12" t="s">
        <v>133</v>
      </c>
      <c r="G12" s="59" t="s">
        <v>33</v>
      </c>
      <c r="H12" s="73">
        <v>77.75</v>
      </c>
    </row>
    <row r="13" spans="1:13" x14ac:dyDescent="0.25">
      <c r="B13" s="56" t="s">
        <v>134</v>
      </c>
      <c r="D13" s="59" t="s">
        <v>11</v>
      </c>
      <c r="E13" s="58" t="s">
        <v>135</v>
      </c>
      <c r="F13" t="s">
        <v>136</v>
      </c>
      <c r="G13" s="59" t="s">
        <v>35</v>
      </c>
      <c r="H13" s="72">
        <f>+((H9+H10+H11+H12)/100)*0.35</f>
        <v>9.5471249999999994</v>
      </c>
    </row>
    <row r="14" spans="1:13" x14ac:dyDescent="0.25">
      <c r="B14" s="56" t="s">
        <v>137</v>
      </c>
      <c r="D14" s="59" t="s">
        <v>18</v>
      </c>
      <c r="E14" s="58" t="s">
        <v>138</v>
      </c>
      <c r="F14" s="56" t="s">
        <v>139</v>
      </c>
      <c r="G14" s="59" t="s">
        <v>37</v>
      </c>
      <c r="H14" s="74">
        <f>+SUM(H9:H13)</f>
        <v>2737.2971250000001</v>
      </c>
    </row>
    <row r="15" spans="1:13" x14ac:dyDescent="0.25">
      <c r="B15" s="56" t="s">
        <v>140</v>
      </c>
      <c r="D15" s="59" t="s">
        <v>141</v>
      </c>
      <c r="E15" s="58" t="s">
        <v>142</v>
      </c>
      <c r="F15" t="s">
        <v>143</v>
      </c>
      <c r="G15" s="59" t="s">
        <v>141</v>
      </c>
      <c r="H15">
        <v>546.24</v>
      </c>
    </row>
    <row r="16" spans="1:13" x14ac:dyDescent="0.25">
      <c r="B16" s="56" t="s">
        <v>144</v>
      </c>
      <c r="D16" s="59" t="s">
        <v>145</v>
      </c>
      <c r="E16" s="58" t="s">
        <v>146</v>
      </c>
      <c r="F16" t="s">
        <v>147</v>
      </c>
    </row>
    <row r="17" spans="1:6" x14ac:dyDescent="0.25">
      <c r="D17" s="59" t="s">
        <v>33</v>
      </c>
      <c r="E17" s="58" t="s">
        <v>148</v>
      </c>
      <c r="F17" t="s">
        <v>149</v>
      </c>
    </row>
    <row r="18" spans="1:6" x14ac:dyDescent="0.25">
      <c r="D18" s="59" t="s">
        <v>35</v>
      </c>
      <c r="E18" s="58" t="s">
        <v>150</v>
      </c>
      <c r="F18" t="s">
        <v>151</v>
      </c>
    </row>
    <row r="19" spans="1:6" x14ac:dyDescent="0.25">
      <c r="D19" s="59" t="s">
        <v>37</v>
      </c>
      <c r="E19" s="58" t="s">
        <v>152</v>
      </c>
      <c r="F19" t="s">
        <v>153</v>
      </c>
    </row>
    <row r="20" spans="1:6" x14ac:dyDescent="0.25">
      <c r="D20" s="59" t="s">
        <v>5</v>
      </c>
      <c r="E20" s="58" t="s">
        <v>154</v>
      </c>
      <c r="F20" t="s">
        <v>155</v>
      </c>
    </row>
    <row r="21" spans="1:6" x14ac:dyDescent="0.25">
      <c r="D21" s="59" t="s">
        <v>12</v>
      </c>
      <c r="E21" s="58" t="s">
        <v>156</v>
      </c>
      <c r="F21" t="s">
        <v>157</v>
      </c>
    </row>
    <row r="22" spans="1:6" x14ac:dyDescent="0.25">
      <c r="A22" s="4" t="s">
        <v>158</v>
      </c>
      <c r="B22" s="4" t="s">
        <v>159</v>
      </c>
      <c r="D22" s="59" t="s">
        <v>19</v>
      </c>
      <c r="E22" s="58" t="s">
        <v>160</v>
      </c>
      <c r="F22" t="s">
        <v>161</v>
      </c>
    </row>
    <row r="23" spans="1:6" x14ac:dyDescent="0.25">
      <c r="A23" s="4" t="s">
        <v>162</v>
      </c>
      <c r="B23" s="4" t="s">
        <v>163</v>
      </c>
      <c r="D23" s="59" t="s">
        <v>29</v>
      </c>
      <c r="E23" s="58" t="s">
        <v>164</v>
      </c>
      <c r="F23" t="s">
        <v>165</v>
      </c>
    </row>
    <row r="24" spans="1:6" x14ac:dyDescent="0.25">
      <c r="A24" s="4" t="s">
        <v>166</v>
      </c>
      <c r="B24" s="4" t="s">
        <v>167</v>
      </c>
      <c r="D24" s="59" t="s">
        <v>34</v>
      </c>
      <c r="E24" s="58" t="s">
        <v>168</v>
      </c>
      <c r="F24" t="s">
        <v>169</v>
      </c>
    </row>
    <row r="25" spans="1:6" x14ac:dyDescent="0.25">
      <c r="A25" s="4" t="s">
        <v>170</v>
      </c>
      <c r="B25" s="5" t="s">
        <v>171</v>
      </c>
      <c r="D25" s="59" t="s">
        <v>36</v>
      </c>
      <c r="E25" s="58" t="s">
        <v>172</v>
      </c>
      <c r="F25" t="s">
        <v>173</v>
      </c>
    </row>
    <row r="26" spans="1:6" x14ac:dyDescent="0.25">
      <c r="A26" s="4" t="s">
        <v>174</v>
      </c>
      <c r="B26" s="4" t="s">
        <v>175</v>
      </c>
      <c r="D26" s="59" t="s">
        <v>6</v>
      </c>
      <c r="E26" s="58" t="s">
        <v>176</v>
      </c>
      <c r="F26" t="s">
        <v>177</v>
      </c>
    </row>
    <row r="27" spans="1:6" x14ac:dyDescent="0.25">
      <c r="A27" s="6" t="s">
        <v>178</v>
      </c>
      <c r="B27" s="4" t="s">
        <v>179</v>
      </c>
      <c r="D27" s="59" t="s">
        <v>13</v>
      </c>
      <c r="E27" s="58" t="s">
        <v>180</v>
      </c>
      <c r="F27" t="s">
        <v>181</v>
      </c>
    </row>
    <row r="28" spans="1:6" x14ac:dyDescent="0.25">
      <c r="D28" s="59" t="s">
        <v>20</v>
      </c>
      <c r="E28" s="58" t="s">
        <v>182</v>
      </c>
      <c r="F28" t="s">
        <v>183</v>
      </c>
    </row>
    <row r="29" spans="1:6" x14ac:dyDescent="0.25">
      <c r="A29" s="4" t="s">
        <v>184</v>
      </c>
      <c r="D29" s="59" t="s">
        <v>25</v>
      </c>
      <c r="E29" s="58" t="s">
        <v>185</v>
      </c>
      <c r="F29" t="s">
        <v>186</v>
      </c>
    </row>
    <row r="30" spans="1:6" x14ac:dyDescent="0.25">
      <c r="A30" s="4" t="s">
        <v>187</v>
      </c>
      <c r="B30" s="4" t="s">
        <v>188</v>
      </c>
    </row>
    <row r="31" spans="1:6" x14ac:dyDescent="0.25">
      <c r="A31" t="s">
        <v>189</v>
      </c>
      <c r="B31" t="s">
        <v>190</v>
      </c>
    </row>
    <row r="32" spans="1:6" x14ac:dyDescent="0.25">
      <c r="A32" t="s">
        <v>191</v>
      </c>
      <c r="B32" t="s">
        <v>192</v>
      </c>
    </row>
    <row r="34" spans="1:4" x14ac:dyDescent="0.25">
      <c r="A34" s="4" t="s">
        <v>193</v>
      </c>
      <c r="B34" s="4"/>
      <c r="C34" s="4"/>
    </row>
    <row r="35" spans="1:4" x14ac:dyDescent="0.25">
      <c r="A35" t="s">
        <v>194</v>
      </c>
    </row>
    <row r="36" spans="1:4" x14ac:dyDescent="0.25">
      <c r="B36" s="1"/>
    </row>
    <row r="37" spans="1:4" x14ac:dyDescent="0.25">
      <c r="A37" t="s">
        <v>195</v>
      </c>
      <c r="B37" s="1">
        <v>25</v>
      </c>
    </row>
    <row r="38" spans="1:4" x14ac:dyDescent="0.25">
      <c r="A38" t="s">
        <v>196</v>
      </c>
      <c r="B38" s="1">
        <v>77.75</v>
      </c>
    </row>
    <row r="39" spans="1:4" x14ac:dyDescent="0.25">
      <c r="A39" t="s">
        <v>197</v>
      </c>
      <c r="B39" s="62" t="s">
        <v>198</v>
      </c>
    </row>
    <row r="40" spans="1:4" x14ac:dyDescent="0.25">
      <c r="A40" t="s">
        <v>41</v>
      </c>
      <c r="B40" s="5" t="s">
        <v>199</v>
      </c>
    </row>
    <row r="41" spans="1:4" x14ac:dyDescent="0.25">
      <c r="A41" t="s">
        <v>42</v>
      </c>
      <c r="B41" s="1">
        <v>15</v>
      </c>
      <c r="D41" t="s">
        <v>200</v>
      </c>
    </row>
    <row r="42" spans="1:4" x14ac:dyDescent="0.25">
      <c r="A42" t="s">
        <v>51</v>
      </c>
      <c r="B42" s="2">
        <v>75</v>
      </c>
      <c r="D42" t="s">
        <v>201</v>
      </c>
    </row>
    <row r="43" spans="1:4" x14ac:dyDescent="0.25">
      <c r="A43" t="s">
        <v>202</v>
      </c>
      <c r="B43" t="s">
        <v>203</v>
      </c>
    </row>
    <row r="44" spans="1:4" x14ac:dyDescent="0.25">
      <c r="A44" t="s">
        <v>204</v>
      </c>
      <c r="B44" t="s">
        <v>203</v>
      </c>
    </row>
    <row r="45" spans="1:4" x14ac:dyDescent="0.25">
      <c r="A45" t="s">
        <v>205</v>
      </c>
      <c r="B45" t="s">
        <v>203</v>
      </c>
    </row>
    <row r="46" spans="1:4" x14ac:dyDescent="0.25">
      <c r="A46" t="s">
        <v>206</v>
      </c>
      <c r="B46" t="s">
        <v>203</v>
      </c>
    </row>
    <row r="47" spans="1:4" x14ac:dyDescent="0.25">
      <c r="A47" t="s">
        <v>207</v>
      </c>
      <c r="B47" t="s">
        <v>203</v>
      </c>
    </row>
    <row r="48" spans="1:4" x14ac:dyDescent="0.25">
      <c r="A48" t="s">
        <v>208</v>
      </c>
      <c r="B4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612E-7D92-4C38-B3E4-594A22572CC7}">
  <dimension ref="A2:X36"/>
  <sheetViews>
    <sheetView tabSelected="1" topLeftCell="A18" zoomScale="110" zoomScaleNormal="110" workbookViewId="0">
      <selection activeCell="H35" sqref="A21:H35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3.28515625" bestFit="1" customWidth="1"/>
    <col min="4" max="4" width="19.42578125" bestFit="1" customWidth="1"/>
    <col min="5" max="5" width="16.28515625" hidden="1" customWidth="1"/>
    <col min="6" max="6" width="17.28515625" customWidth="1"/>
    <col min="7" max="7" width="24" customWidth="1"/>
    <col min="8" max="8" width="11" bestFit="1" customWidth="1"/>
    <col min="9" max="9" width="23.140625" hidden="1" customWidth="1"/>
    <col min="10" max="10" width="6.85546875" hidden="1" customWidth="1"/>
    <col min="11" max="11" width="14.7109375" hidden="1" customWidth="1"/>
    <col min="12" max="12" width="13.28515625" hidden="1" customWidth="1"/>
    <col min="13" max="13" width="19.42578125" hidden="1" customWidth="1"/>
    <col min="14" max="14" width="16.28515625" hidden="1" customWidth="1"/>
    <col min="15" max="15" width="17.28515625" hidden="1" customWidth="1"/>
    <col min="16" max="16" width="25.7109375" hidden="1" customWidth="1"/>
    <col min="17" max="17" width="10.5703125" hidden="1" customWidth="1"/>
    <col min="21" max="21" width="12.85546875" bestFit="1" customWidth="1"/>
    <col min="24" max="24" width="25.5703125" bestFit="1" customWidth="1"/>
  </cols>
  <sheetData>
    <row r="2" spans="1:24" x14ac:dyDescent="0.25">
      <c r="F2" s="79" t="s">
        <v>52</v>
      </c>
      <c r="G2" s="78"/>
      <c r="H2" s="7" t="s">
        <v>53</v>
      </c>
      <c r="O2" s="79" t="s">
        <v>52</v>
      </c>
      <c r="P2" s="78"/>
      <c r="Q2" s="7" t="s">
        <v>53</v>
      </c>
    </row>
    <row r="3" spans="1:24" ht="15" customHeight="1" x14ac:dyDescent="0.25">
      <c r="F3" s="80" t="s">
        <v>54</v>
      </c>
      <c r="G3" s="81"/>
      <c r="H3" s="78"/>
      <c r="O3" s="80" t="s">
        <v>54</v>
      </c>
      <c r="P3" s="81"/>
      <c r="Q3" s="78"/>
    </row>
    <row r="4" spans="1:24" ht="15" customHeight="1" x14ac:dyDescent="0.25">
      <c r="F4" s="77" t="s">
        <v>55</v>
      </c>
      <c r="G4" s="78"/>
      <c r="H4" s="8">
        <f>+'Corporate View '!F8</f>
        <v>11693.534625</v>
      </c>
      <c r="O4" s="77" t="s">
        <v>55</v>
      </c>
      <c r="P4" s="78"/>
      <c r="Q4" s="8">
        <v>1000</v>
      </c>
    </row>
    <row r="5" spans="1:24" ht="15" customHeight="1" x14ac:dyDescent="0.25">
      <c r="F5" s="77" t="s">
        <v>56</v>
      </c>
      <c r="G5" s="78"/>
      <c r="H5" s="9">
        <v>0</v>
      </c>
      <c r="O5" s="77" t="s">
        <v>56</v>
      </c>
      <c r="P5" s="78"/>
      <c r="Q5" s="9">
        <v>0</v>
      </c>
      <c r="R5">
        <f>+Q4*Q8</f>
        <v>350</v>
      </c>
    </row>
    <row r="6" spans="1:24" ht="15" customHeight="1" x14ac:dyDescent="0.25">
      <c r="F6" s="77" t="s">
        <v>57</v>
      </c>
      <c r="G6" s="78"/>
      <c r="H6" s="10">
        <f>H5*H4</f>
        <v>0</v>
      </c>
      <c r="O6" s="77" t="s">
        <v>57</v>
      </c>
      <c r="P6" s="78"/>
      <c r="Q6" s="10">
        <f>Q5*Q4</f>
        <v>0</v>
      </c>
    </row>
    <row r="7" spans="1:24" ht="15" customHeight="1" x14ac:dyDescent="0.25">
      <c r="F7" s="77" t="s">
        <v>58</v>
      </c>
      <c r="G7" s="78"/>
      <c r="H7" s="10">
        <f>H4-H6</f>
        <v>11693.534625</v>
      </c>
      <c r="O7" s="77" t="s">
        <v>58</v>
      </c>
      <c r="P7" s="78"/>
      <c r="Q7" s="10">
        <f>Q4-Q6</f>
        <v>1000</v>
      </c>
    </row>
    <row r="8" spans="1:24" ht="27" customHeight="1" x14ac:dyDescent="0.25">
      <c r="F8" s="77" t="s">
        <v>59</v>
      </c>
      <c r="G8" s="78"/>
      <c r="H8" s="11">
        <f>+'Corporate View '!H3</f>
        <v>0.34194805194805195</v>
      </c>
      <c r="O8" s="77" t="s">
        <v>59</v>
      </c>
      <c r="P8" s="78"/>
      <c r="Q8" s="11">
        <v>0.35</v>
      </c>
    </row>
    <row r="9" spans="1:24" ht="15" customHeight="1" x14ac:dyDescent="0.25">
      <c r="F9" s="77" t="s">
        <v>60</v>
      </c>
      <c r="G9" s="78"/>
      <c r="H9" s="12">
        <v>1</v>
      </c>
      <c r="O9" s="77" t="s">
        <v>60</v>
      </c>
      <c r="P9" s="78"/>
      <c r="Q9" s="12">
        <v>1</v>
      </c>
      <c r="X9" s="71"/>
    </row>
    <row r="10" spans="1:24" x14ac:dyDescent="0.25">
      <c r="F10" s="77" t="s">
        <v>61</v>
      </c>
      <c r="G10" s="78"/>
      <c r="H10" s="12" t="s">
        <v>62</v>
      </c>
      <c r="O10" s="77" t="s">
        <v>61</v>
      </c>
      <c r="P10" s="78"/>
      <c r="Q10" s="12" t="s">
        <v>62</v>
      </c>
    </row>
    <row r="11" spans="1:24" ht="16.5" customHeight="1" x14ac:dyDescent="0.25">
      <c r="F11" s="83" t="s">
        <v>63</v>
      </c>
      <c r="G11" s="84"/>
      <c r="H11" s="13">
        <v>45678</v>
      </c>
      <c r="O11" s="83" t="s">
        <v>63</v>
      </c>
      <c r="P11" s="84"/>
      <c r="Q11" s="13">
        <v>45689</v>
      </c>
    </row>
    <row r="12" spans="1:24" ht="16.5" customHeight="1" x14ac:dyDescent="0.25">
      <c r="F12" s="85"/>
      <c r="G12" s="81"/>
      <c r="H12" s="14"/>
      <c r="O12" s="85"/>
      <c r="P12" s="81"/>
      <c r="Q12" s="14"/>
    </row>
    <row r="13" spans="1:24" ht="16.5" customHeight="1" x14ac:dyDescent="0.25">
      <c r="F13" s="86" t="s">
        <v>64</v>
      </c>
      <c r="G13" s="87"/>
      <c r="H13" s="15">
        <f>H8/12</f>
        <v>2.8495670995670994E-2</v>
      </c>
      <c r="O13" s="86" t="s">
        <v>64</v>
      </c>
      <c r="P13" s="87"/>
      <c r="Q13" s="15">
        <f>Q8/12</f>
        <v>2.9166666666666664E-2</v>
      </c>
      <c r="W13" s="70"/>
    </row>
    <row r="14" spans="1:24" x14ac:dyDescent="0.25">
      <c r="E14" t="s">
        <v>65</v>
      </c>
      <c r="F14" s="95" t="s">
        <v>66</v>
      </c>
      <c r="G14" s="78"/>
      <c r="H14" s="16">
        <f>ROUND(-PMT(H13,C19,H7),2)</f>
        <v>1164.23</v>
      </c>
      <c r="N14" t="s">
        <v>65</v>
      </c>
      <c r="O14" s="95" t="s">
        <v>66</v>
      </c>
      <c r="P14" s="78"/>
      <c r="Q14" s="16">
        <f>ROUND(-PMT(Q13,L19,Q7),2)</f>
        <v>99.96</v>
      </c>
    </row>
    <row r="15" spans="1:24" x14ac:dyDescent="0.25">
      <c r="E15" t="s">
        <v>67</v>
      </c>
      <c r="F15" s="95" t="s">
        <v>68</v>
      </c>
      <c r="G15" s="78"/>
      <c r="H15" s="17">
        <f>C19</f>
        <v>12</v>
      </c>
      <c r="N15" t="s">
        <v>67</v>
      </c>
      <c r="O15" s="95" t="s">
        <v>68</v>
      </c>
      <c r="P15" s="78"/>
      <c r="Q15" s="17">
        <f>L19</f>
        <v>12</v>
      </c>
    </row>
    <row r="16" spans="1:24" ht="16.5" x14ac:dyDescent="0.3">
      <c r="A16" s="18"/>
      <c r="B16" s="19"/>
      <c r="C16" s="20"/>
      <c r="D16" s="21"/>
      <c r="E16" s="22" t="s">
        <v>69</v>
      </c>
      <c r="F16" s="95" t="s">
        <v>70</v>
      </c>
      <c r="G16" s="78"/>
      <c r="H16" s="16">
        <f>SUM(F24:F49)</f>
        <v>2277.2599999999998</v>
      </c>
      <c r="J16" s="18"/>
      <c r="K16" s="19"/>
      <c r="L16" s="20"/>
      <c r="M16" s="21"/>
      <c r="N16" s="22" t="s">
        <v>69</v>
      </c>
      <c r="O16" s="95" t="s">
        <v>70</v>
      </c>
      <c r="P16" s="78"/>
      <c r="Q16" s="16">
        <f>SUM(O24:O49)</f>
        <v>28.5</v>
      </c>
      <c r="X16" s="16"/>
    </row>
    <row r="17" spans="1:21" ht="16.5" x14ac:dyDescent="0.3">
      <c r="A17" s="96" t="s">
        <v>71</v>
      </c>
      <c r="B17" s="97"/>
      <c r="C17" s="23">
        <f t="array" ref="C17">INDEX({1;2;4;6;12;24;26;52},MATCH($H$10,$E$13:$E$20,0))</f>
        <v>12</v>
      </c>
      <c r="D17" s="24"/>
      <c r="E17" s="25" t="s">
        <v>62</v>
      </c>
      <c r="F17" s="98" t="s">
        <v>72</v>
      </c>
      <c r="G17" s="97"/>
      <c r="H17" s="26" t="s">
        <v>73</v>
      </c>
      <c r="J17" s="96" t="s">
        <v>71</v>
      </c>
      <c r="K17" s="97"/>
      <c r="L17" s="23">
        <f t="array" ref="L17">INDEX({1;2;4;6;12;24;26;52},MATCH($H$10,$E$13:$E$20,0))</f>
        <v>12</v>
      </c>
      <c r="M17" s="24"/>
      <c r="N17" s="25" t="s">
        <v>62</v>
      </c>
      <c r="O17" s="98" t="s">
        <v>72</v>
      </c>
      <c r="P17" s="97"/>
      <c r="Q17" s="26" t="s">
        <v>73</v>
      </c>
    </row>
    <row r="18" spans="1:21" ht="16.5" x14ac:dyDescent="0.3">
      <c r="A18" s="82" t="s">
        <v>74</v>
      </c>
      <c r="B18" s="82"/>
      <c r="C18" s="23">
        <f>12/$C$17</f>
        <v>1</v>
      </c>
      <c r="D18" s="24"/>
      <c r="E18" s="25" t="s">
        <v>65</v>
      </c>
      <c r="F18" s="27"/>
      <c r="G18" s="28"/>
      <c r="H18" s="29"/>
      <c r="J18" s="82" t="s">
        <v>74</v>
      </c>
      <c r="K18" s="82"/>
      <c r="L18" s="23">
        <f>12/$C$17</f>
        <v>1</v>
      </c>
      <c r="M18" s="24"/>
      <c r="N18" s="25" t="s">
        <v>65</v>
      </c>
      <c r="O18" s="27"/>
      <c r="P18" s="28"/>
      <c r="Q18" s="29"/>
    </row>
    <row r="19" spans="1:21" ht="16.5" x14ac:dyDescent="0.3">
      <c r="A19" s="82" t="s">
        <v>75</v>
      </c>
      <c r="B19" s="82"/>
      <c r="C19" s="23">
        <f>$H$9*$C$17</f>
        <v>12</v>
      </c>
      <c r="D19" s="24"/>
      <c r="E19" s="25" t="s">
        <v>76</v>
      </c>
      <c r="F19" s="27"/>
      <c r="G19" s="28"/>
      <c r="H19" s="29"/>
      <c r="J19" s="82" t="s">
        <v>75</v>
      </c>
      <c r="K19" s="82"/>
      <c r="L19" s="23">
        <f>$H$9*$C$17</f>
        <v>12</v>
      </c>
      <c r="M19" s="24"/>
      <c r="N19" s="25" t="s">
        <v>76</v>
      </c>
      <c r="O19" s="27"/>
      <c r="P19" s="28"/>
      <c r="Q19" s="29"/>
    </row>
    <row r="20" spans="1:21" ht="16.5" x14ac:dyDescent="0.3">
      <c r="A20" s="88" t="s">
        <v>77</v>
      </c>
      <c r="B20" s="88"/>
      <c r="C20" s="30" t="b">
        <f>(H17="En")</f>
        <v>1</v>
      </c>
      <c r="D20" s="23"/>
      <c r="E20" s="31" t="s">
        <v>78</v>
      </c>
      <c r="F20" s="27"/>
      <c r="G20" s="28"/>
      <c r="H20" s="29"/>
      <c r="J20" s="88" t="s">
        <v>77</v>
      </c>
      <c r="K20" s="88"/>
      <c r="L20" s="30" t="b">
        <f>(Q17="En")</f>
        <v>1</v>
      </c>
      <c r="M20" s="23"/>
      <c r="N20" s="31" t="s">
        <v>78</v>
      </c>
      <c r="O20" s="27"/>
      <c r="P20" s="28"/>
      <c r="Q20" s="29"/>
    </row>
    <row r="21" spans="1:21" x14ac:dyDescent="0.25">
      <c r="A21" s="89" t="s">
        <v>79</v>
      </c>
      <c r="B21" s="81"/>
      <c r="C21" s="81"/>
      <c r="D21" s="81"/>
      <c r="E21" s="81"/>
      <c r="F21" s="81"/>
      <c r="G21" s="81"/>
      <c r="H21" s="78"/>
      <c r="J21" s="89" t="s">
        <v>79</v>
      </c>
      <c r="K21" s="81"/>
      <c r="L21" s="81"/>
      <c r="M21" s="81"/>
      <c r="N21" s="81"/>
      <c r="O21" s="81"/>
      <c r="P21" s="81"/>
      <c r="Q21" s="78"/>
    </row>
    <row r="22" spans="1:21" x14ac:dyDescent="0.25">
      <c r="A22" s="90" t="s">
        <v>80</v>
      </c>
      <c r="B22" s="90" t="s">
        <v>81</v>
      </c>
      <c r="C22" s="92" t="s">
        <v>82</v>
      </c>
      <c r="D22" s="93" t="s">
        <v>83</v>
      </c>
      <c r="E22" s="94" t="s">
        <v>84</v>
      </c>
      <c r="F22" s="93" t="s">
        <v>85</v>
      </c>
      <c r="G22" s="93" t="s">
        <v>86</v>
      </c>
      <c r="H22" s="32" t="s">
        <v>87</v>
      </c>
      <c r="J22" s="90" t="s">
        <v>80</v>
      </c>
      <c r="K22" s="90" t="s">
        <v>81</v>
      </c>
      <c r="L22" s="92" t="s">
        <v>82</v>
      </c>
      <c r="M22" s="93" t="s">
        <v>83</v>
      </c>
      <c r="N22" s="94" t="s">
        <v>84</v>
      </c>
      <c r="O22" s="93" t="s">
        <v>85</v>
      </c>
      <c r="P22" s="93" t="s">
        <v>86</v>
      </c>
      <c r="Q22" s="32" t="s">
        <v>88</v>
      </c>
    </row>
    <row r="23" spans="1:21" x14ac:dyDescent="0.25">
      <c r="A23" s="91"/>
      <c r="B23" s="91"/>
      <c r="C23" s="91"/>
      <c r="D23" s="91"/>
      <c r="E23" s="91"/>
      <c r="F23" s="91"/>
      <c r="G23" s="91"/>
      <c r="H23" s="33">
        <f>H7</f>
        <v>11693.534625</v>
      </c>
      <c r="J23" s="91"/>
      <c r="K23" s="91"/>
      <c r="L23" s="91"/>
      <c r="M23" s="91"/>
      <c r="N23" s="91"/>
      <c r="O23" s="91"/>
      <c r="P23" s="91"/>
      <c r="Q23" s="33">
        <f>Q7</f>
        <v>1000</v>
      </c>
      <c r="S23">
        <v>1800</v>
      </c>
    </row>
    <row r="24" spans="1:21" x14ac:dyDescent="0.25">
      <c r="A24" s="34">
        <v>1</v>
      </c>
      <c r="B24" s="13">
        <f>H11</f>
        <v>45678</v>
      </c>
      <c r="C24" s="35">
        <f>H7</f>
        <v>11693.534625</v>
      </c>
      <c r="D24" s="36">
        <f>IF(A24="","",IF($C$20,IF(OR(A24=$C$19,$H$14&gt;ROUND((1+$H$13)*H23,2)),ROUND((1+$H$13)*H23,2),$H$14),IF(OR(A24=$C$19,$H$14&gt;(1+$H$13)*H23),(I+$H$13)*H23,$H$14)))</f>
        <v>1164.23</v>
      </c>
      <c r="E24" s="37"/>
      <c r="F24" s="36">
        <f>IF(A24="","",(IF($C$20,ROUND($H$13*H23,2),$H$13*H23)))</f>
        <v>333.22</v>
      </c>
      <c r="G24" s="36">
        <f>IF(A24="","",D24-F24+E24)</f>
        <v>831.01</v>
      </c>
      <c r="H24" s="38">
        <f>IF(A24="","",H23-G24)</f>
        <v>10862.524625</v>
      </c>
      <c r="J24" s="34">
        <v>1</v>
      </c>
      <c r="K24" s="13">
        <f>Q11</f>
        <v>45689</v>
      </c>
      <c r="L24" s="35">
        <f>Q7</f>
        <v>1000</v>
      </c>
      <c r="M24" s="36">
        <f>IF(J24="","",IF($C$20,IF(OR(J24=$C$19,$H$14&gt;ROUND((1+$H$13)*Q23,2)),ROUND((1+$H$13)*Q23,2),$H$14),IF(OR(J24=$C$19,$H$14&gt;(1+$H$13)*Q23),(I+$H$13)*Q23,$H$14)))</f>
        <v>1028.5</v>
      </c>
      <c r="N24" s="37"/>
      <c r="O24" s="36">
        <f>IF(J24="","",(IF($C$20,ROUND($H$13*Q23,2),$H$13*Q23)))</f>
        <v>28.5</v>
      </c>
      <c r="P24" s="36">
        <f t="shared" ref="P24:P35" si="0">IF(J24="","",M24-O24+N24)</f>
        <v>1000</v>
      </c>
      <c r="Q24" s="38">
        <f t="shared" ref="Q24:Q35" si="1">IF(J24="","",Q23-P24)</f>
        <v>0</v>
      </c>
      <c r="S24" s="60">
        <f>+F24/C24</f>
        <v>2.8496088709362336E-2</v>
      </c>
      <c r="U24">
        <f t="shared" ref="U24:U36" si="2">+H23*S24</f>
        <v>333.22</v>
      </c>
    </row>
    <row r="25" spans="1:21" x14ac:dyDescent="0.25">
      <c r="A25" s="34">
        <f t="shared" ref="A25:A35" si="3">IF(H24="","",IF($C$20,IF(OR(A24&gt;=$C$19,ROUND(H24,2)&lt;=0),"",A24+1),IF(OR(A24&gt;=$C$19,H24&lt;=0),"",A24+1)))</f>
        <v>2</v>
      </c>
      <c r="B25" s="13">
        <f>IF(A25="","",IF($C$17=26,IF(A25=1,$H$11,B24+14),IF($C$17=52,IF(A25=1,$H$11,B24+7),IF($C$17=24,IF(A25=1,$H$11,IF($H$11=EOMONTH($H$11,0),IF(ISODD(A25),EOMONTH(EDATE($H$11,(A25-1)/2),0),EDATE(DATE(YEAR($H$11),MONTH($H$11)+1,15),(A25-1)/2)),IF(DAY($H$11)=15,IF(ISODD(A25),EDATE($H$11,(A25-1)/2),EOMONTH(EDATE($H$11,(A25-1)/2),0)),IF(DAY($H$11)&lt;=14,IF(ISODD(A25),EDATE($H$11,(A25-1)/2),EDATE(MIN($H$11+15,EOMONTH($H$11,0)),(A25-1)/2)),EDATE(IF(ISODD(A25),$H$11,$H$11-15),A25/2))))),IF(A25=1,$H$11,EDATE($H$11,$C$18*(A25-1)))))))</f>
        <v>45709</v>
      </c>
      <c r="C25" s="35">
        <f>IF(ISERROR(IF((ROUND(H24,1)&gt;0),H24,"")),"",(IF((ROUND(H24,1)&gt;0),H24,"")))</f>
        <v>10862.524625</v>
      </c>
      <c r="D25" s="36">
        <f>IF(A25="","",IF($C$20,IF(OR(A25=$C$19,$H$14&gt;ROUND((1+$H$13)*H24,2)),ROUND((1+$H$13)*H24,2),$H$14),IF(OR(A25=$C$19,$H$14&gt;(1+$H$13)*H24),(I+$H$13)*H24,$H$14)))</f>
        <v>1164.23</v>
      </c>
      <c r="E25" s="37"/>
      <c r="F25" s="36">
        <f t="shared" ref="F25:F35" si="4">IF(A25="","",(IF($C$20,ROUND($H$13*H24,2),$H$13*H24)))</f>
        <v>309.52999999999997</v>
      </c>
      <c r="G25" s="36">
        <f t="shared" ref="G25:G35" si="5">IF(A25="","",D25-F25+E25)</f>
        <v>854.7</v>
      </c>
      <c r="H25" s="38">
        <f t="shared" ref="H25:H35" si="6">IF(A25="","",H24-G25)</f>
        <v>10007.824624999999</v>
      </c>
      <c r="J25" s="34" t="str">
        <f t="shared" ref="J25:J35" si="7">IF(Q24="","",IF($C$20,IF(OR(J24&gt;=$C$19,ROUND(Q24,2)&lt;=0),"",J24+1),IF(OR(J24&gt;=$C$19,Q24&lt;=0),"",J24+1)))</f>
        <v/>
      </c>
      <c r="K25" s="13" t="str">
        <f t="shared" ref="K25:K35" si="8">IF(J25="","",IF($C$17=26,IF(J25=1,$H$11,K24+14),IF($C$17=52,IF(J25=1,$H$11,K24+7),IF($C$17=24,IF(J25=1,$H$11,IF($H$11=EOMONTH($H$11,0),IF(ISODD(J25),EOMONTH(EDATE($H$11,(J25-1)/2),0),EDATE(DATE(YEAR($H$11),MONTH($H$11)+1,15),(J25-1)/2)),IF(DAY($H$11)=15,IF(ISODD(J25),EDATE($H$11,(J25-1)/2),EOMONTH(EDATE($H$11,(J25-1)/2),0)),IF(DAY($H$11)&lt;=14,IF(ISODD(J25),EDATE($H$11,(J25-1)/2),EDATE(MIN($H$11+15,EOMONTH($H$11,0)),(J25-1)/2)),EDATE(IF(ISODD(J25),$H$11,$H$11-15),J25/2))))),IF(J25=1,$H$11,EDATE($H$11,$C$18*(J25-1)))))))</f>
        <v/>
      </c>
      <c r="L25" s="35" t="str">
        <f t="shared" ref="L25:L35" si="9">IF(ISERROR(IF((ROUND(Q24,1)&gt;0),Q24,"")),"",(IF((ROUND(Q24,1)&gt;0),Q24,"")))</f>
        <v/>
      </c>
      <c r="M25" s="36" t="str">
        <f>IF(J25="","",IF($C$20,IF(OR(J25=$C$19,$H$14&gt;ROUND((1+$H$13)*Q24,2)),ROUND((1+$H$13)*Q24,2),$H$14),IF(OR(J25=$C$19,$H$14&gt;(1+$H$13)*Q24),(I+$H$13)*Q24,$H$14)))</f>
        <v/>
      </c>
      <c r="N25" s="37"/>
      <c r="O25" s="36" t="str">
        <f t="shared" ref="O25:O35" si="10">IF(J25="","",(IF($C$20,ROUND($H$13*Q24,2),$H$13*Q24)))</f>
        <v/>
      </c>
      <c r="P25" s="36" t="str">
        <f t="shared" si="0"/>
        <v/>
      </c>
      <c r="Q25" s="38" t="str">
        <f t="shared" si="1"/>
        <v/>
      </c>
      <c r="S25" s="60">
        <f t="shared" ref="S25:S35" si="11">+F25/C25</f>
        <v>2.8495217335353103E-2</v>
      </c>
      <c r="U25">
        <f t="shared" si="2"/>
        <v>309.52999999999997</v>
      </c>
    </row>
    <row r="26" spans="1:21" x14ac:dyDescent="0.25">
      <c r="A26" s="34">
        <f t="shared" si="3"/>
        <v>3</v>
      </c>
      <c r="B26" s="13">
        <f t="shared" ref="B26:B35" si="12">IF(A26="","",IF($C$17=26,IF(A26=1,$H$11,B25+14),IF($C$17=52,IF(A26=1,$H$11,B25+7),IF($C$17=24,IF(A26=1,$H$11,IF($H$11=EOMONTH($H$11,0),IF(ISODD(A26),EOMONTH(EDATE($H$11,(A26-1)/2),0),EDATE(DATE(YEAR($H$11),MONTH($H$11)+1,15),(A26-1)/2)),IF(DAY($H$11)=15,IF(ISODD(A26),EDATE($H$11,(A26-1)/2),EOMONTH(EDATE($H$11,(A26-1)/2),0)),IF(DAY($H$11)&lt;=14,IF(ISODD(A26),EDATE($H$11,(A26-1)/2),EDATE(MIN($H$11+15,EOMONTH($H$11,0)),(A26-1)/2)),EDATE(IF(ISODD(A26),$H$11,$H$11-15),A26/2))))),IF(A26=1,$H$11,EDATE($H$11,$C$18*(A26-1)))))))</f>
        <v>45737</v>
      </c>
      <c r="C26" s="35">
        <f t="shared" ref="C26:C35" si="13">IF(ISERROR(IF((ROUND(H25,1)&gt;0),H25,"")),"",(IF((ROUND(H25,1)&gt;0),H25,"")))</f>
        <v>10007.824624999999</v>
      </c>
      <c r="D26" s="36">
        <f>IF(A26="","",IF($C$20,IF(OR(A26=$C$19,$H$14&gt;ROUND((1+$H$13)*H25,2)),ROUND((1+$H$13)*H25,2),$H$14),IF(OR(A26=$C$19,$H$14&gt;(1+$H$13)*H25),(I+$H$13)*H25,$H$14)))</f>
        <v>1164.23</v>
      </c>
      <c r="E26" s="37"/>
      <c r="F26" s="36">
        <f t="shared" si="4"/>
        <v>285.18</v>
      </c>
      <c r="G26" s="36">
        <f t="shared" si="5"/>
        <v>879.05</v>
      </c>
      <c r="H26" s="38">
        <f t="shared" si="6"/>
        <v>9128.774625</v>
      </c>
      <c r="J26" s="34" t="str">
        <f t="shared" si="7"/>
        <v/>
      </c>
      <c r="K26" s="13" t="str">
        <f t="shared" si="8"/>
        <v/>
      </c>
      <c r="L26" s="35" t="str">
        <f t="shared" si="9"/>
        <v/>
      </c>
      <c r="M26" s="36" t="str">
        <f>IF(J26="","",IF($C$20,IF(OR(J26=$C$19,$H$14&gt;ROUND((1+$H$13)*Q25,2)),ROUND((1+$H$13)*Q25,2),$H$14),IF(OR(J26=$C$19,$H$14&gt;(1+$H$13)*Q25),(I+$H$13)*Q25,$H$14)))</f>
        <v/>
      </c>
      <c r="N26" s="37"/>
      <c r="O26" s="36" t="str">
        <f t="shared" si="10"/>
        <v/>
      </c>
      <c r="P26" s="36" t="str">
        <f t="shared" si="0"/>
        <v/>
      </c>
      <c r="Q26" s="38" t="str">
        <f t="shared" si="1"/>
        <v/>
      </c>
      <c r="S26" s="60">
        <f t="shared" si="11"/>
        <v>2.8495703180849857E-2</v>
      </c>
      <c r="U26">
        <f t="shared" si="2"/>
        <v>285.18</v>
      </c>
    </row>
    <row r="27" spans="1:21" x14ac:dyDescent="0.25">
      <c r="A27" s="34">
        <f t="shared" si="3"/>
        <v>4</v>
      </c>
      <c r="B27" s="13">
        <f t="shared" si="12"/>
        <v>45768</v>
      </c>
      <c r="C27" s="35">
        <f t="shared" si="13"/>
        <v>9128.774625</v>
      </c>
      <c r="D27" s="36">
        <f>IF(A27="","",IF($C$20,IF(OR(A27=$C$19,$H$14&gt;ROUND((1+$H$13)*H26,2)),ROUND((1+$H$13)*H26,2),$H$14),IF(OR(A27=$C$19,$H$14&gt;(1+$H$13)*H26),(I+$H$13)*H26,$H$14)))</f>
        <v>1164.23</v>
      </c>
      <c r="E27" s="37"/>
      <c r="F27" s="36">
        <f t="shared" si="4"/>
        <v>260.13</v>
      </c>
      <c r="G27" s="36">
        <f t="shared" si="5"/>
        <v>904.1</v>
      </c>
      <c r="H27" s="38">
        <f t="shared" si="6"/>
        <v>8224.6746249999997</v>
      </c>
      <c r="J27" s="34" t="str">
        <f t="shared" si="7"/>
        <v/>
      </c>
      <c r="K27" s="13" t="str">
        <f t="shared" si="8"/>
        <v/>
      </c>
      <c r="L27" s="35" t="str">
        <f t="shared" si="9"/>
        <v/>
      </c>
      <c r="M27" s="36" t="str">
        <f>IF(J27="","",IF($C$20,IF(OR(J27=$C$19,$H$14&gt;ROUND((1+$H$13)*Q26,2)),ROUND((1+$H$13)*Q26,2),$H$14),IF(OR(J27=$C$19,$H$14&gt;(1+$H$13)*Q26),(I+$H$13)*Q26,$H$14)))</f>
        <v/>
      </c>
      <c r="N27" s="37"/>
      <c r="O27" s="36" t="str">
        <f t="shared" si="10"/>
        <v/>
      </c>
      <c r="P27" s="36" t="str">
        <f t="shared" si="0"/>
        <v/>
      </c>
      <c r="Q27" s="38" t="str">
        <f t="shared" si="1"/>
        <v/>
      </c>
      <c r="S27" s="60">
        <f t="shared" si="11"/>
        <v>2.8495609836572122E-2</v>
      </c>
      <c r="U27">
        <f t="shared" si="2"/>
        <v>260.13</v>
      </c>
    </row>
    <row r="28" spans="1:21" x14ac:dyDescent="0.25">
      <c r="A28" s="34">
        <f t="shared" si="3"/>
        <v>5</v>
      </c>
      <c r="B28" s="13">
        <f t="shared" si="12"/>
        <v>45798</v>
      </c>
      <c r="C28" s="35">
        <f t="shared" si="13"/>
        <v>8224.6746249999997</v>
      </c>
      <c r="D28" s="36">
        <f>IF(A28="","",IF($C$20,IF(OR(A28=$C$19,$H$14&gt;ROUND((1+$H$13)*H27,2)),ROUND((1+$H$13)*H27,2),$H$14),IF(OR(A28=$C$19,$H$14&gt;(1+$H$13)*H27),(I+$H$13)*H27,$H$14)))</f>
        <v>1164.23</v>
      </c>
      <c r="E28" s="37"/>
      <c r="F28" s="36">
        <f t="shared" si="4"/>
        <v>234.37</v>
      </c>
      <c r="G28" s="36">
        <f t="shared" si="5"/>
        <v>929.86</v>
      </c>
      <c r="H28" s="38">
        <f t="shared" si="6"/>
        <v>7294.814625</v>
      </c>
      <c r="J28" s="34" t="str">
        <f t="shared" si="7"/>
        <v/>
      </c>
      <c r="K28" s="13" t="str">
        <f t="shared" si="8"/>
        <v/>
      </c>
      <c r="L28" s="35" t="str">
        <f t="shared" si="9"/>
        <v/>
      </c>
      <c r="M28" s="36" t="str">
        <f>IF(J28="","",IF($C$20,IF(OR(J28=$C$19,$H$14&gt;ROUND((1+$H$13)*Q27,2)),ROUND((1+$H$13)*Q27,2),$H$14),IF(OR(J28=$C$19,$H$14&gt;(1+$H$13)*Q27),(I+$H$13)*Q27,$H$14)))</f>
        <v/>
      </c>
      <c r="N28" s="37"/>
      <c r="O28" s="36" t="str">
        <f t="shared" si="10"/>
        <v/>
      </c>
      <c r="P28" s="36" t="str">
        <f t="shared" si="0"/>
        <v/>
      </c>
      <c r="Q28" s="38" t="str">
        <f t="shared" si="1"/>
        <v/>
      </c>
      <c r="S28" s="60">
        <f t="shared" si="11"/>
        <v>2.8495960106142193E-2</v>
      </c>
      <c r="U28">
        <f t="shared" si="2"/>
        <v>234.37</v>
      </c>
    </row>
    <row r="29" spans="1:21" x14ac:dyDescent="0.25">
      <c r="A29" s="34">
        <f t="shared" si="3"/>
        <v>6</v>
      </c>
      <c r="B29" s="13">
        <f t="shared" si="12"/>
        <v>45829</v>
      </c>
      <c r="C29" s="35">
        <f t="shared" si="13"/>
        <v>7294.814625</v>
      </c>
      <c r="D29" s="36">
        <f>IF(A29="","",IF($C$20,IF(OR(A29=$C$19,$H$14&gt;ROUND((1+$H$13)*H28,2)),ROUND((1+$H$13)*H28,2),$H$14),IF(OR(A29=$C$19,$H$14&gt;(1+$H$13)*H28),(I+$H$13)*H28,$H$14)))</f>
        <v>1164.23</v>
      </c>
      <c r="E29" s="37"/>
      <c r="F29" s="36">
        <f t="shared" si="4"/>
        <v>207.87</v>
      </c>
      <c r="G29" s="36">
        <f t="shared" si="5"/>
        <v>956.36</v>
      </c>
      <c r="H29" s="38">
        <f t="shared" si="6"/>
        <v>6338.4546250000003</v>
      </c>
      <c r="J29" s="34" t="str">
        <f t="shared" si="7"/>
        <v/>
      </c>
      <c r="K29" s="13" t="str">
        <f t="shared" si="8"/>
        <v/>
      </c>
      <c r="L29" s="35" t="str">
        <f t="shared" si="9"/>
        <v/>
      </c>
      <c r="M29" s="36" t="str">
        <f>IF(J29="","",IF($C$20,IF(OR(J29=$C$19,$H$14&gt;ROUND((1+$H$13)*Q28,2)),ROUND((1+$H$13)*Q28,2),$H$14),IF(OR(J29=$C$19,$H$14&gt;(1+$H$13)*Q28),(I+$H$13)*Q28,$H$14)))</f>
        <v/>
      </c>
      <c r="N29" s="37"/>
      <c r="O29" s="36" t="str">
        <f t="shared" si="10"/>
        <v/>
      </c>
      <c r="P29" s="36" t="str">
        <f t="shared" si="0"/>
        <v/>
      </c>
      <c r="Q29" s="38" t="str">
        <f t="shared" si="1"/>
        <v/>
      </c>
      <c r="S29" s="60">
        <f t="shared" si="11"/>
        <v>2.849558360093352E-2</v>
      </c>
      <c r="U29">
        <f t="shared" si="2"/>
        <v>207.87</v>
      </c>
    </row>
    <row r="30" spans="1:21" x14ac:dyDescent="0.25">
      <c r="A30" s="34">
        <f t="shared" si="3"/>
        <v>7</v>
      </c>
      <c r="B30" s="13">
        <f t="shared" si="12"/>
        <v>45859</v>
      </c>
      <c r="C30" s="35">
        <f t="shared" si="13"/>
        <v>6338.4546250000003</v>
      </c>
      <c r="D30" s="36">
        <f>IF(A30="","",IF($C$20,IF(OR(A30=$C$19,$H$14&gt;ROUND((1+$H$13)*H29,2)),ROUND((1+$H$13)*H29,2),$H$14),IF(OR(A30=$C$19,$H$14&gt;(1+$H$13)*H29),(I+$H$13)*H29,$H$14)))</f>
        <v>1164.23</v>
      </c>
      <c r="E30" s="37"/>
      <c r="F30" s="36">
        <f t="shared" si="4"/>
        <v>180.62</v>
      </c>
      <c r="G30" s="36">
        <f t="shared" si="5"/>
        <v>983.61</v>
      </c>
      <c r="H30" s="38">
        <f t="shared" si="6"/>
        <v>5354.8446250000006</v>
      </c>
      <c r="J30" s="34" t="str">
        <f t="shared" si="7"/>
        <v/>
      </c>
      <c r="K30" s="13" t="str">
        <f t="shared" si="8"/>
        <v/>
      </c>
      <c r="L30" s="35" t="str">
        <f t="shared" si="9"/>
        <v/>
      </c>
      <c r="M30" s="36" t="str">
        <f>IF(J30="","",IF($C$20,IF(OR(J30=$C$19,$H$14&gt;ROUND((1+$H$13)*Q29,2)),ROUND((1+$H$13)*Q29,2),$H$14),IF(OR(J30=$C$19,$H$14&gt;(1+$H$13)*Q29),(I+$H$13)*Q29,$H$14)))</f>
        <v/>
      </c>
      <c r="N30" s="37"/>
      <c r="O30" s="36" t="str">
        <f t="shared" si="10"/>
        <v/>
      </c>
      <c r="P30" s="36" t="str">
        <f t="shared" si="0"/>
        <v/>
      </c>
      <c r="Q30" s="38" t="str">
        <f t="shared" si="1"/>
        <v/>
      </c>
      <c r="S30" s="60">
        <f t="shared" si="11"/>
        <v>2.8495904867347693E-2</v>
      </c>
      <c r="U30">
        <f t="shared" si="2"/>
        <v>180.62</v>
      </c>
    </row>
    <row r="31" spans="1:21" x14ac:dyDescent="0.25">
      <c r="A31" s="34">
        <f t="shared" si="3"/>
        <v>8</v>
      </c>
      <c r="B31" s="13">
        <f t="shared" si="12"/>
        <v>45890</v>
      </c>
      <c r="C31" s="35">
        <f t="shared" si="13"/>
        <v>5354.8446250000006</v>
      </c>
      <c r="D31" s="36">
        <f>IF(A31="","",IF($C$20,IF(OR(A31=$C$19,$H$14&gt;ROUND((1+$H$13)*H30,2)),ROUND((1+$H$13)*H30,2),$H$14),IF(OR(A31=$C$19,$H$14&gt;(1+$H$13)*H30),(I+$H$13)*H30,$H$14)))</f>
        <v>1164.23</v>
      </c>
      <c r="E31" s="37"/>
      <c r="F31" s="36">
        <f t="shared" si="4"/>
        <v>152.59</v>
      </c>
      <c r="G31" s="36">
        <f t="shared" si="5"/>
        <v>1011.64</v>
      </c>
      <c r="H31" s="38">
        <f t="shared" si="6"/>
        <v>4343.2046250000003</v>
      </c>
      <c r="J31" s="34" t="str">
        <f t="shared" si="7"/>
        <v/>
      </c>
      <c r="K31" s="13" t="str">
        <f t="shared" si="8"/>
        <v/>
      </c>
      <c r="L31" s="35" t="str">
        <f t="shared" si="9"/>
        <v/>
      </c>
      <c r="M31" s="36" t="str">
        <f>IF(J31="","",IF($C$20,IF(OR(J31=$C$19,$H$14&gt;ROUND((1+$H$13)*Q30,2)),ROUND((1+$H$13)*Q30,2),$H$14),IF(OR(J31=$C$19,$H$14&gt;(1+$H$13)*Q30),(I+$H$13)*Q30,$H$14)))</f>
        <v/>
      </c>
      <c r="N31" s="37"/>
      <c r="O31" s="36" t="str">
        <f t="shared" si="10"/>
        <v/>
      </c>
      <c r="P31" s="36" t="str">
        <f t="shared" si="0"/>
        <v/>
      </c>
      <c r="Q31" s="38" t="str">
        <f t="shared" si="1"/>
        <v/>
      </c>
      <c r="S31" s="60">
        <f t="shared" si="11"/>
        <v>2.8495691413268593E-2</v>
      </c>
      <c r="U31">
        <f t="shared" si="2"/>
        <v>152.59</v>
      </c>
    </row>
    <row r="32" spans="1:21" x14ac:dyDescent="0.25">
      <c r="A32" s="34">
        <f t="shared" si="3"/>
        <v>9</v>
      </c>
      <c r="B32" s="13">
        <f t="shared" si="12"/>
        <v>45921</v>
      </c>
      <c r="C32" s="35">
        <f t="shared" si="13"/>
        <v>4343.2046250000003</v>
      </c>
      <c r="D32" s="36">
        <f>IF(A32="","",IF($C$20,IF(OR(A32=$C$19,$H$14&gt;ROUND((1+$H$13)*H31,2)),ROUND((1+$H$13)*H31,2),$H$14),IF(OR(A32=$C$19,$H$14&gt;(1+$H$13)*H31),(I+$H$13)*H31,$H$14)))</f>
        <v>1164.23</v>
      </c>
      <c r="E32" s="37"/>
      <c r="F32" s="36">
        <f t="shared" si="4"/>
        <v>123.76</v>
      </c>
      <c r="G32" s="36">
        <f t="shared" si="5"/>
        <v>1040.47</v>
      </c>
      <c r="H32" s="38">
        <f t="shared" si="6"/>
        <v>3302.7346250000001</v>
      </c>
      <c r="J32" s="34" t="str">
        <f t="shared" si="7"/>
        <v/>
      </c>
      <c r="K32" s="13" t="str">
        <f t="shared" si="8"/>
        <v/>
      </c>
      <c r="L32" s="35" t="str">
        <f t="shared" si="9"/>
        <v/>
      </c>
      <c r="M32" s="36" t="str">
        <f>IF(J32="","",IF($C$20,IF(OR(J32=$C$19,$H$14&gt;ROUND((1+$H$13)*Q31,2)),ROUND((1+$H$13)*Q31,2),$H$14),IF(OR(J32=$C$19,$H$14&gt;(1+$H$13)*Q31),(I+$H$13)*Q31,$H$14)))</f>
        <v/>
      </c>
      <c r="N32" s="37"/>
      <c r="O32" s="36" t="str">
        <f t="shared" si="10"/>
        <v/>
      </c>
      <c r="P32" s="36" t="str">
        <f t="shared" si="0"/>
        <v/>
      </c>
      <c r="Q32" s="38" t="str">
        <f t="shared" si="1"/>
        <v/>
      </c>
      <c r="S32" s="60">
        <f t="shared" si="11"/>
        <v>2.8495088462473721E-2</v>
      </c>
      <c r="U32">
        <f t="shared" si="2"/>
        <v>123.76</v>
      </c>
    </row>
    <row r="33" spans="1:21" x14ac:dyDescent="0.25">
      <c r="A33" s="34">
        <f t="shared" si="3"/>
        <v>10</v>
      </c>
      <c r="B33" s="13">
        <f t="shared" si="12"/>
        <v>45951</v>
      </c>
      <c r="C33" s="35">
        <f t="shared" si="13"/>
        <v>3302.7346250000001</v>
      </c>
      <c r="D33" s="36">
        <f>IF(A33="","",IF($C$20,IF(OR(A33=$C$19,$H$14&gt;ROUND((1+$H$13)*H32,2)),ROUND((1+$H$13)*H32,2),$H$14),IF(OR(A33=$C$19,$H$14&gt;(1+$H$13)*H32),(I+$H$13)*H32,$H$14)))</f>
        <v>1164.23</v>
      </c>
      <c r="E33" s="37"/>
      <c r="F33" s="36">
        <f t="shared" si="4"/>
        <v>94.11</v>
      </c>
      <c r="G33" s="36">
        <f t="shared" si="5"/>
        <v>1070.1200000000001</v>
      </c>
      <c r="H33" s="38">
        <f t="shared" si="6"/>
        <v>2232.6146250000002</v>
      </c>
      <c r="J33" s="34" t="str">
        <f t="shared" si="7"/>
        <v/>
      </c>
      <c r="K33" s="13" t="str">
        <f t="shared" si="8"/>
        <v/>
      </c>
      <c r="L33" s="35" t="str">
        <f t="shared" si="9"/>
        <v/>
      </c>
      <c r="M33" s="36" t="str">
        <f>IF(J33="","",IF($C$20,IF(OR(J33=$C$19,$H$14&gt;ROUND((1+$H$13)*Q32,2)),ROUND((1+$H$13)*Q32,2),$H$14),IF(OR(J33=$C$19,$H$14&gt;(1+$H$13)*Q32),(I+$H$13)*Q32,$H$14)))</f>
        <v/>
      </c>
      <c r="N33" s="37"/>
      <c r="O33" s="36" t="str">
        <f t="shared" si="10"/>
        <v/>
      </c>
      <c r="P33" s="36" t="str">
        <f t="shared" si="0"/>
        <v/>
      </c>
      <c r="Q33" s="38" t="str">
        <f t="shared" si="1"/>
        <v/>
      </c>
      <c r="S33" s="60">
        <f t="shared" si="11"/>
        <v>2.8494569102717419E-2</v>
      </c>
      <c r="U33">
        <f t="shared" si="2"/>
        <v>94.11</v>
      </c>
    </row>
    <row r="34" spans="1:21" x14ac:dyDescent="0.25">
      <c r="A34" s="34">
        <f t="shared" si="3"/>
        <v>11</v>
      </c>
      <c r="B34" s="13">
        <f t="shared" si="12"/>
        <v>45982</v>
      </c>
      <c r="C34" s="35">
        <f t="shared" si="13"/>
        <v>2232.6146250000002</v>
      </c>
      <c r="D34" s="36">
        <f>IF(A34="","",IF($C$20,IF(OR(A34=$C$19,$H$14&gt;ROUND((1+$H$13)*H33,2)),ROUND((1+$H$13)*H33,2),$H$14),IF(OR(A34=$C$19,$H$14&gt;(1+$H$13)*H33),(I+$H$13)*H33,$H$14)))</f>
        <v>1164.23</v>
      </c>
      <c r="E34" s="37"/>
      <c r="F34" s="36">
        <f t="shared" si="4"/>
        <v>63.62</v>
      </c>
      <c r="G34" s="36">
        <f t="shared" si="5"/>
        <v>1100.6100000000001</v>
      </c>
      <c r="H34" s="38">
        <f t="shared" si="6"/>
        <v>1132.004625</v>
      </c>
      <c r="J34" s="34" t="str">
        <f t="shared" si="7"/>
        <v/>
      </c>
      <c r="K34" s="13" t="str">
        <f t="shared" si="8"/>
        <v/>
      </c>
      <c r="L34" s="35" t="str">
        <f t="shared" si="9"/>
        <v/>
      </c>
      <c r="M34" s="36" t="str">
        <f>IF(J34="","",IF($C$20,IF(OR(J34=$C$19,$H$14&gt;ROUND((1+$H$13)*Q33,2)),ROUND((1+$H$13)*Q33,2),$H$14),IF(OR(J34=$C$19,$H$14&gt;(1+$H$13)*Q33),(I+$H$13)*Q33,$H$14)))</f>
        <v/>
      </c>
      <c r="N34" s="37"/>
      <c r="O34" s="36" t="str">
        <f t="shared" si="10"/>
        <v/>
      </c>
      <c r="P34" s="36" t="str">
        <f t="shared" si="0"/>
        <v/>
      </c>
      <c r="Q34" s="38" t="str">
        <f t="shared" si="1"/>
        <v/>
      </c>
      <c r="S34" s="60">
        <f t="shared" si="11"/>
        <v>2.8495737368915603E-2</v>
      </c>
      <c r="U34">
        <f t="shared" si="2"/>
        <v>63.62</v>
      </c>
    </row>
    <row r="35" spans="1:21" x14ac:dyDescent="0.25">
      <c r="A35" s="34">
        <f t="shared" si="3"/>
        <v>12</v>
      </c>
      <c r="B35" s="13">
        <f t="shared" si="12"/>
        <v>46012</v>
      </c>
      <c r="C35" s="35">
        <f t="shared" si="13"/>
        <v>1132.004625</v>
      </c>
      <c r="D35" s="36">
        <f>IF(A35="","",IF($C$20,IF(OR(A35=$C$19,$H$14&gt;ROUND((1+$H$13)*H34,2)),ROUND((1+$H$13)*H34,2),$H$14),IF(OR(A35=$C$19,$H$14&gt;(1+$H$13)*H34),(I+$H$13)*H34,$H$14)))</f>
        <v>1164.26</v>
      </c>
      <c r="E35" s="37"/>
      <c r="F35" s="36">
        <f t="shared" si="4"/>
        <v>32.26</v>
      </c>
      <c r="G35" s="36">
        <f t="shared" si="5"/>
        <v>1132</v>
      </c>
      <c r="H35" s="38">
        <f t="shared" si="6"/>
        <v>4.6250000000327418E-3</v>
      </c>
      <c r="J35" s="34" t="str">
        <f t="shared" si="7"/>
        <v/>
      </c>
      <c r="K35" s="13" t="str">
        <f t="shared" si="8"/>
        <v/>
      </c>
      <c r="L35" s="35" t="str">
        <f t="shared" si="9"/>
        <v/>
      </c>
      <c r="M35" s="36" t="str">
        <f>IF(J35="","",IF($C$20,IF(OR(J35=$C$19,$H$14&gt;ROUND((1+$H$13)*Q34,2)),ROUND((1+$H$13)*Q34,2),$H$14),IF(OR(J35=$C$19,$H$14&gt;(1+$H$13)*Q34),(I+$H$13)*Q34,$H$14)))</f>
        <v/>
      </c>
      <c r="N35" s="37"/>
      <c r="O35" s="36" t="str">
        <f t="shared" si="10"/>
        <v/>
      </c>
      <c r="P35" s="36" t="str">
        <f t="shared" si="0"/>
        <v/>
      </c>
      <c r="Q35" s="38" t="str">
        <f t="shared" si="1"/>
        <v/>
      </c>
      <c r="S35" s="60">
        <f t="shared" si="11"/>
        <v>2.8498116781104137E-2</v>
      </c>
      <c r="U35">
        <f t="shared" si="2"/>
        <v>32.26</v>
      </c>
    </row>
    <row r="36" spans="1:21" x14ac:dyDescent="0.25">
      <c r="U36">
        <f t="shared" si="2"/>
        <v>0</v>
      </c>
    </row>
  </sheetData>
  <mergeCells count="56">
    <mergeCell ref="J19:K19"/>
    <mergeCell ref="J20:K20"/>
    <mergeCell ref="J21:Q21"/>
    <mergeCell ref="J22:J23"/>
    <mergeCell ref="K22:K23"/>
    <mergeCell ref="L22:L23"/>
    <mergeCell ref="M22:M23"/>
    <mergeCell ref="N22:N23"/>
    <mergeCell ref="O22:O23"/>
    <mergeCell ref="P22:P23"/>
    <mergeCell ref="J18:K18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J17:K17"/>
    <mergeCell ref="O17:P17"/>
    <mergeCell ref="O2:P2"/>
    <mergeCell ref="O3:Q3"/>
    <mergeCell ref="O4:P4"/>
    <mergeCell ref="O5:P5"/>
    <mergeCell ref="O6:P6"/>
    <mergeCell ref="O7:P7"/>
    <mergeCell ref="A19:B19"/>
    <mergeCell ref="A20:B20"/>
    <mergeCell ref="A21:H21"/>
    <mergeCell ref="A22:A23"/>
    <mergeCell ref="B22:B23"/>
    <mergeCell ref="C22:C23"/>
    <mergeCell ref="D22:D23"/>
    <mergeCell ref="E22:E23"/>
    <mergeCell ref="F22:F23"/>
    <mergeCell ref="G22:G23"/>
    <mergeCell ref="F14:G14"/>
    <mergeCell ref="F15:G15"/>
    <mergeCell ref="F16:G16"/>
    <mergeCell ref="A17:B17"/>
    <mergeCell ref="F17:G17"/>
    <mergeCell ref="A18:B18"/>
    <mergeCell ref="F8:G8"/>
    <mergeCell ref="F9:G9"/>
    <mergeCell ref="F10:G10"/>
    <mergeCell ref="F11:G11"/>
    <mergeCell ref="F12:G12"/>
    <mergeCell ref="F13:G13"/>
    <mergeCell ref="F7:G7"/>
    <mergeCell ref="F2:G2"/>
    <mergeCell ref="F3:H3"/>
    <mergeCell ref="F4:G4"/>
    <mergeCell ref="F5:G5"/>
    <mergeCell ref="F6:G6"/>
  </mergeCells>
  <dataValidations disablePrompts="1" count="2">
    <dataValidation type="list" showInputMessage="1" showErrorMessage="1" sqref="H10 Q10" xr:uid="{5103491A-35BA-4E84-BBF9-5795A8DF4D3F}">
      <formula1>"Anual, semestral, trimestral, bimestral, mensual, semestral, quincenal, semanal"</formula1>
    </dataValidation>
    <dataValidation type="list" showInputMessage="1" showErrorMessage="1" sqref="H17 Q17" xr:uid="{5B251B88-DBFC-4EC2-91A0-32D89A4F58CA}">
      <formula1>"Encendido, apagado"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6B02-64B1-443A-AB7D-D3108AEC0A98}">
  <dimension ref="A1:J8"/>
  <sheetViews>
    <sheetView workbookViewId="0">
      <selection activeCell="I5" sqref="I5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0" bestFit="1" customWidth="1"/>
    <col min="4" max="4" width="19.5703125" bestFit="1" customWidth="1"/>
    <col min="5" max="5" width="21.85546875" bestFit="1" customWidth="1"/>
    <col min="6" max="6" width="10.5703125" bestFit="1" customWidth="1"/>
    <col min="7" max="7" width="21.42578125" bestFit="1" customWidth="1"/>
    <col min="8" max="8" width="10.42578125" bestFit="1" customWidth="1"/>
    <col min="9" max="9" width="19.85546875" bestFit="1" customWidth="1"/>
    <col min="10" max="10" width="10" bestFit="1" customWidth="1"/>
  </cols>
  <sheetData>
    <row r="1" spans="1:10" x14ac:dyDescent="0.25">
      <c r="A1" s="44" t="s">
        <v>0</v>
      </c>
      <c r="B1" s="39" t="s">
        <v>1</v>
      </c>
      <c r="C1" s="44" t="s">
        <v>2</v>
      </c>
      <c r="D1" s="39" t="s">
        <v>3</v>
      </c>
      <c r="E1" s="44" t="s">
        <v>4</v>
      </c>
      <c r="F1" s="48">
        <f>+F2+F3</f>
        <v>1800</v>
      </c>
      <c r="G1" t="s">
        <v>5</v>
      </c>
      <c r="H1" s="3">
        <v>211.35416666666666</v>
      </c>
      <c r="I1" t="s">
        <v>6</v>
      </c>
      <c r="J1" t="s">
        <v>7</v>
      </c>
    </row>
    <row r="2" spans="1:10" x14ac:dyDescent="0.25">
      <c r="A2" s="44" t="s">
        <v>8</v>
      </c>
      <c r="B2" s="39" t="s">
        <v>209</v>
      </c>
      <c r="C2" s="44" t="s">
        <v>9</v>
      </c>
      <c r="D2" s="39" t="s">
        <v>10</v>
      </c>
      <c r="E2" s="44" t="s">
        <v>11</v>
      </c>
      <c r="F2" s="48">
        <v>1000</v>
      </c>
      <c r="G2" t="s">
        <v>12</v>
      </c>
      <c r="H2" s="3">
        <v>1.726027397260274</v>
      </c>
    </row>
    <row r="3" spans="1:10" x14ac:dyDescent="0.25">
      <c r="A3" s="44" t="s">
        <v>14</v>
      </c>
      <c r="B3" s="39" t="s">
        <v>15</v>
      </c>
      <c r="C3" s="44" t="s">
        <v>16</v>
      </c>
      <c r="D3" s="39" t="s">
        <v>17</v>
      </c>
      <c r="E3" s="44" t="s">
        <v>18</v>
      </c>
      <c r="F3" s="48">
        <f>+IF(F2&lt;=1000,F2*0.8,IF(F2&lt;=2000,F2*0.75,IF(F2&lt;=3000,F2*0.7,IF(F2&lt;=10000,F2*0.65,IF(F2&lt;=15000,F2*0.6,IF(F2&gt;15001,F2*0.5))))))</f>
        <v>800</v>
      </c>
      <c r="G3" t="s">
        <v>19</v>
      </c>
      <c r="H3" s="53">
        <v>0.35</v>
      </c>
      <c r="I3" t="s">
        <v>20</v>
      </c>
      <c r="J3" s="54"/>
    </row>
    <row r="4" spans="1:10" x14ac:dyDescent="0.25">
      <c r="A4" s="44" t="s">
        <v>21</v>
      </c>
      <c r="B4" s="39" t="s">
        <v>22</v>
      </c>
      <c r="C4" s="44" t="s">
        <v>23</v>
      </c>
      <c r="D4" s="39">
        <v>2024</v>
      </c>
      <c r="E4" s="44" t="s">
        <v>210</v>
      </c>
      <c r="F4" s="48">
        <f>IF(F1&lt;=10000,F1*0.35,IF(F1&lt;=20000,(10000*0.35)+((F1-10000)*0.29),IF(F1&lt;=25000,(10000*0.35)+(10000*0.29)+((F1-20000)*0.23),0)))</f>
        <v>630</v>
      </c>
      <c r="G4" t="s">
        <v>29</v>
      </c>
      <c r="H4" s="41">
        <v>45575</v>
      </c>
      <c r="I4" t="s">
        <v>25</v>
      </c>
      <c r="J4" s="54">
        <v>211.35416666666669</v>
      </c>
    </row>
    <row r="5" spans="1:10" x14ac:dyDescent="0.25">
      <c r="A5" s="44" t="s">
        <v>26</v>
      </c>
      <c r="B5" s="39">
        <v>3054092910</v>
      </c>
      <c r="C5" s="44"/>
      <c r="D5" s="40"/>
      <c r="E5" s="44" t="s">
        <v>28</v>
      </c>
      <c r="F5" s="48">
        <v>25</v>
      </c>
      <c r="G5" t="s">
        <v>34</v>
      </c>
    </row>
    <row r="6" spans="1:10" x14ac:dyDescent="0.25">
      <c r="A6" s="44" t="s">
        <v>31</v>
      </c>
      <c r="B6" s="52" t="s">
        <v>32</v>
      </c>
      <c r="C6" s="39"/>
      <c r="D6" s="39"/>
      <c r="E6" s="44" t="s">
        <v>33</v>
      </c>
      <c r="F6" s="48">
        <v>77.75</v>
      </c>
      <c r="G6" t="s">
        <v>36</v>
      </c>
    </row>
    <row r="7" spans="1:10" x14ac:dyDescent="0.25">
      <c r="E7" s="44" t="s">
        <v>35</v>
      </c>
      <c r="F7" s="48">
        <f>+(F2/100)*0.35</f>
        <v>3.5</v>
      </c>
    </row>
    <row r="8" spans="1:10" x14ac:dyDescent="0.25">
      <c r="E8" s="44" t="s">
        <v>37</v>
      </c>
      <c r="F8" s="43">
        <f>+F2+F3+F5+F6+F7</f>
        <v>1906.25</v>
      </c>
    </row>
  </sheetData>
  <hyperlinks>
    <hyperlink ref="B6" r:id="rId1" xr:uid="{356242ED-5647-44AA-8FD7-2F8865D52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Corporate View </vt:lpstr>
      <vt:lpstr>Definitions</vt:lpstr>
      <vt:lpstr>Amort Schedule</vt:lpstr>
      <vt:lpstr>Customer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Herrera Restrepo</dc:creator>
  <cp:keywords/>
  <dc:description/>
  <cp:lastModifiedBy>tomas Duarte pinzón</cp:lastModifiedBy>
  <cp:revision/>
  <dcterms:created xsi:type="dcterms:W3CDTF">2025-01-15T15:22:43Z</dcterms:created>
  <dcterms:modified xsi:type="dcterms:W3CDTF">2025-04-22T15:46:41Z</dcterms:modified>
  <cp:category/>
  <cp:contentStatus/>
</cp:coreProperties>
</file>