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<sst xmlns="http://schemas.openxmlformats.org/spreadsheetml/2006/main" count="186" uniqueCount="145">
  <si>
    <t xml:space="preserve">период (1 мес)</t>
  </si>
  <si>
    <t xml:space="preserve">денежный поток</t>
  </si>
  <si>
    <t xml:space="preserve">Дисконт</t>
  </si>
  <si>
    <t xml:space="preserve">чдд</t>
  </si>
  <si>
    <t xml:space="preserve">количество покупок</t>
  </si>
  <si>
    <t xml:space="preserve">количество подписок</t>
  </si>
  <si>
    <t xml:space="preserve">Расходы</t>
  </si>
  <si>
    <t xml:space="preserve">Столбец1</t>
  </si>
  <si>
    <t xml:space="preserve">минимальные</t>
  </si>
  <si>
    <t xml:space="preserve">наиболее вер</t>
  </si>
  <si>
    <t xml:space="preserve">максимальные</t>
  </si>
  <si>
    <t xml:space="preserve">средняя</t>
  </si>
  <si>
    <t xml:space="preserve">квадр откл</t>
  </si>
  <si>
    <t xml:space="preserve">Ei</t>
  </si>
  <si>
    <t xml:space="preserve">СКО^2</t>
  </si>
  <si>
    <t xml:space="preserve">Столбец2</t>
  </si>
  <si>
    <t xml:space="preserve">Столбец3</t>
  </si>
  <si>
    <t xml:space="preserve">ТЗ</t>
  </si>
  <si>
    <t xml:space="preserve">обучение</t>
  </si>
  <si>
    <t xml:space="preserve">дизайн</t>
  </si>
  <si>
    <t xml:space="preserve">back-end</t>
  </si>
  <si>
    <t xml:space="preserve">альфа тест</t>
  </si>
  <si>
    <t xml:space="preserve">бета тест</t>
  </si>
  <si>
    <t xml:space="preserve">E=</t>
  </si>
  <si>
    <t xml:space="preserve">суммарная трудоёмкость</t>
  </si>
  <si>
    <t xml:space="preserve">CKO</t>
  </si>
  <si>
    <t xml:space="preserve">суммарнноу средн квадр отклонение</t>
  </si>
  <si>
    <t xml:space="preserve">e95%=</t>
  </si>
  <si>
    <t xml:space="preserve">PERT</t>
  </si>
  <si>
    <t xml:space="preserve">Т</t>
  </si>
  <si>
    <t xml:space="preserve">точки</t>
  </si>
  <si>
    <t xml:space="preserve">Обмен данными </t>
  </si>
  <si>
    <t xml:space="preserve">тип оценки</t>
  </si>
  <si>
    <t xml:space="preserve">проект разработки</t>
  </si>
  <si>
    <t xml:space="preserve">Распределенная обработка данных</t>
  </si>
  <si>
    <t xml:space="preserve">Производительност</t>
  </si>
  <si>
    <t xml:space="preserve">Сложность данных</t>
  </si>
  <si>
    <t xml:space="preserve">Количество UFP (ILF)</t>
  </si>
  <si>
    <t xml:space="preserve">Количество UFP (EIF)</t>
  </si>
  <si>
    <t xml:space="preserve">Ограничения по аппаратным ресурсам</t>
  </si>
  <si>
    <t xml:space="preserve">Низкая</t>
  </si>
  <si>
    <t xml:space="preserve">Транзакционная нагрузка</t>
  </si>
  <si>
    <t xml:space="preserve">Средняя</t>
  </si>
  <si>
    <t xml:space="preserve">Интенсивность взаимодействия с пользователем</t>
  </si>
  <si>
    <t xml:space="preserve">Высокая</t>
  </si>
  <si>
    <t xml:space="preserve">Эргономика</t>
  </si>
  <si>
    <t xml:space="preserve">Интенсивность изменения данных (ILF) пользователями</t>
  </si>
  <si>
    <t xml:space="preserve">Сложность транзакций</t>
  </si>
  <si>
    <t xml:space="preserve">Количество UFP (EO EQ)</t>
  </si>
  <si>
    <t xml:space="preserve">Количество UFP (EO)</t>
  </si>
  <si>
    <t xml:space="preserve">Сложность обработк</t>
  </si>
  <si>
    <t xml:space="preserve">Повторное использование</t>
  </si>
  <si>
    <t xml:space="preserve">Удобство инсталляции</t>
  </si>
  <si>
    <t xml:space="preserve">Удобство администрирования</t>
  </si>
  <si>
    <t xml:space="preserve">Портируемость</t>
  </si>
  <si>
    <t xml:space="preserve">UFP</t>
  </si>
  <si>
    <t xml:space="preserve">Гибкость</t>
  </si>
  <si>
    <t xml:space="preserve">суммарное количество невыровненных функциональных точек</t>
  </si>
  <si>
    <t xml:space="preserve">total infl degree</t>
  </si>
  <si>
    <t xml:space="preserve">TDI</t>
  </si>
  <si>
    <t xml:space="preserve">ЦЕНА ПОКУПКИ</t>
  </si>
  <si>
    <t xml:space="preserve">ЦЕНА ПОДПИСКИ</t>
  </si>
  <si>
    <t xml:space="preserve">эквивалентн сумма денег через период времени</t>
  </si>
  <si>
    <t xml:space="preserve">фактор выравнивания</t>
  </si>
  <si>
    <t xml:space="preserve">VAF=</t>
  </si>
  <si>
    <t xml:space="preserve">БС</t>
  </si>
  <si>
    <t xml:space="preserve">выровненные фт</t>
  </si>
  <si>
    <t xml:space="preserve">AFP=</t>
  </si>
  <si>
    <t xml:space="preserve">development func point</t>
  </si>
  <si>
    <t xml:space="preserve">DFP</t>
  </si>
  <si>
    <t xml:space="preserve">ИД</t>
  </si>
  <si>
    <t xml:space="preserve">ВНД</t>
  </si>
  <si>
    <t xml:space="preserve">СО (лет)</t>
  </si>
  <si>
    <t xml:space="preserve">КЭИ</t>
  </si>
  <si>
    <t xml:space="preserve">COMOCO II</t>
  </si>
  <si>
    <t xml:space="preserve">Язык</t>
  </si>
  <si>
    <t xml:space="preserve">Наиболее</t>
  </si>
  <si>
    <t xml:space="preserve">Оптимистичная</t>
  </si>
  <si>
    <t xml:space="preserve">Пессимистичная</t>
  </si>
  <si>
    <t xml:space="preserve">программирования</t>
  </si>
  <si>
    <t xml:space="preserve">вероятная</t>
  </si>
  <si>
    <t xml:space="preserve">Чистый дисконтированный доход</t>
  </si>
  <si>
    <t xml:space="preserve">PHP</t>
  </si>
  <si>
    <t xml:space="preserve">Индекс доходности</t>
  </si>
  <si>
    <t xml:space="preserve">JAVASCRIPT</t>
  </si>
  <si>
    <t xml:space="preserve">Внутренняя норма доходности</t>
  </si>
  <si>
    <t xml:space="preserve">HTML</t>
  </si>
  <si>
    <t xml:space="preserve">Срок окупаемосли</t>
  </si>
  <si>
    <t xml:space="preserve">C#</t>
  </si>
  <si>
    <t xml:space="preserve">Коэффициент эффективности инвестиций</t>
  </si>
  <si>
    <t xml:space="preserve">№</t>
  </si>
  <si>
    <t xml:space="preserve">Множитель трудоемкости,</t>
  </si>
  <si>
    <t xml:space="preserve">Описание</t>
  </si>
  <si>
    <t xml:space="preserve">Оценка уровня множителя трудоемкости</t>
  </si>
  <si>
    <t xml:space="preserve">Супер низкий</t>
  </si>
  <si>
    <t xml:space="preserve">Очень низкий</t>
  </si>
  <si>
    <t xml:space="preserve">Низкий</t>
  </si>
  <si>
    <t xml:space="preserve">Нормальный</t>
  </si>
  <si>
    <t xml:space="preserve">Высокий</t>
  </si>
  <si>
    <t xml:space="preserve">Очень высокий</t>
  </si>
  <si>
    <t xml:space="preserve">Супер высокий</t>
  </si>
  <si>
    <t xml:space="preserve">PERS</t>
  </si>
  <si>
    <t xml:space="preserve">квалификация персонала</t>
  </si>
  <si>
    <t xml:space="preserve">1.00</t>
  </si>
  <si>
    <t xml:space="preserve">0.83</t>
  </si>
  <si>
    <t xml:space="preserve">0.63</t>
  </si>
  <si>
    <t xml:space="preserve">0.50</t>
  </si>
  <si>
    <t xml:space="preserve">PREX</t>
  </si>
  <si>
    <t xml:space="preserve">опыт персонала</t>
  </si>
  <si>
    <t xml:space="preserve">0.87</t>
  </si>
  <si>
    <t xml:space="preserve">0.74</t>
  </si>
  <si>
    <t xml:space="preserve">0.62</t>
  </si>
  <si>
    <t xml:space="preserve">RCPX</t>
  </si>
  <si>
    <t xml:space="preserve">сложность и надежность продукта</t>
  </si>
  <si>
    <t xml:space="preserve">0.60</t>
  </si>
  <si>
    <t xml:space="preserve">RUSE</t>
  </si>
  <si>
    <t xml:space="preserve">разработка для повторного использования</t>
  </si>
  <si>
    <t xml:space="preserve">n/a</t>
  </si>
  <si>
    <t xml:space="preserve">0.95</t>
  </si>
  <si>
    <t xml:space="preserve">PDIF</t>
  </si>
  <si>
    <t xml:space="preserve">сложность платформы разработки</t>
  </si>
  <si>
    <t xml:space="preserve">FCIL</t>
  </si>
  <si>
    <t xml:space="preserve">оборудование</t>
  </si>
  <si>
    <t xml:space="preserve">0.73</t>
  </si>
  <si>
    <t xml:space="preserve">CSED</t>
  </si>
  <si>
    <t xml:space="preserve">требуемое выполнение графика работ</t>
  </si>
  <si>
    <t xml:space="preserve">Оценка уровня фактора</t>
  </si>
  <si>
    <t xml:space="preserve">Средний</t>
  </si>
  <si>
    <t xml:space="preserve">Критический</t>
  </si>
  <si>
    <t xml:space="preserve">PREC</t>
  </si>
  <si>
    <t xml:space="preserve">0.00</t>
  </si>
  <si>
    <t xml:space="preserve">FLEX</t>
  </si>
  <si>
    <t xml:space="preserve">RESL</t>
  </si>
  <si>
    <t xml:space="preserve">TEAM</t>
  </si>
  <si>
    <t xml:space="preserve">PMAT</t>
  </si>
  <si>
    <t xml:space="preserve">множители трудоёмкости</t>
  </si>
  <si>
    <t xml:space="preserve">чел час</t>
  </si>
  <si>
    <t xml:space="preserve">чел месяц</t>
  </si>
  <si>
    <t xml:space="preserve">PM</t>
  </si>
  <si>
    <t xml:space="preserve">трудоёмкость проекта</t>
  </si>
  <si>
    <t xml:space="preserve">Е</t>
  </si>
  <si>
    <t xml:space="preserve">факторы масштаба</t>
  </si>
  <si>
    <t xml:space="preserve">Месяц</t>
  </si>
  <si>
    <t xml:space="preserve">Бюджет</t>
  </si>
  <si>
    <t xml:space="preserve">Остаток по кредиту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</si>
</sst>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"/>
    <numFmt numFmtId="167" formatCode="General"/>
    <numFmt numFmtId="168" formatCode="0.00%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204"/>
    </font>
    <font>
      <sz val="11"/>
      <color rgb="FFFFFFFF"/>
      <name val="Calibri"/>
      <family val="2"/>
      <charset val="204"/>
    </font>
    <font>
      <i val="true"/>
      <sz val="11"/>
      <color rgb="FF7F7F7F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DEDED"/>
        <bgColor rgb="FFFFFFFF"/>
      </patternFill>
    </fill>
    <fill>
      <patternFill patternType="solid">
        <fgColor rgb="FF77BC65"/>
        <bgColor rgb="FF99CC0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24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25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2" xfId="20"/>
    <cellStyle name="Excel Built-in 20% - Accent3" xfId="21"/>
    <cellStyle name="Excel Built-in Explanatory Text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EDEDE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Остаток по кредиту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Лист1!$B$92</c:f>
              <c:strCache>
                <c:ptCount val="1"/>
                <c:pt idx="0">
                  <c:v>Бюджет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Лист1!$A$93:$A$129</c:f>
              <c:strCach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strCache>
            </c:strRef>
          </c:cat>
          <c:val>
            <c:numRef>
              <c:f>Лист1!$B$93:$B$129</c:f>
              <c:numCache>
                <c:formatCode>General</c:formatCode>
                <c:ptCount val="37"/>
                <c:pt idx="0">
                  <c:v>420000</c:v>
                </c:pt>
                <c:pt idx="1">
                  <c:v>378333</c:v>
                </c:pt>
                <c:pt idx="2">
                  <c:v>336666</c:v>
                </c:pt>
                <c:pt idx="3">
                  <c:v>294999</c:v>
                </c:pt>
                <c:pt idx="4">
                  <c:v>253332</c:v>
                </c:pt>
                <c:pt idx="5">
                  <c:v>211665</c:v>
                </c:pt>
                <c:pt idx="6">
                  <c:v>216123</c:v>
                </c:pt>
                <c:pt idx="7">
                  <c:v>1159456</c:v>
                </c:pt>
                <c:pt idx="8">
                  <c:v>3625289</c:v>
                </c:pt>
                <c:pt idx="9">
                  <c:v>6598622</c:v>
                </c:pt>
                <c:pt idx="10">
                  <c:v>9318205</c:v>
                </c:pt>
                <c:pt idx="11">
                  <c:v>12342288</c:v>
                </c:pt>
                <c:pt idx="12">
                  <c:v>15214121</c:v>
                </c:pt>
                <c:pt idx="13">
                  <c:v>18035204</c:v>
                </c:pt>
                <c:pt idx="14">
                  <c:v>19414537</c:v>
                </c:pt>
                <c:pt idx="15">
                  <c:v>20540120</c:v>
                </c:pt>
                <c:pt idx="16">
                  <c:v>22802953</c:v>
                </c:pt>
                <c:pt idx="17">
                  <c:v>25319536</c:v>
                </c:pt>
                <c:pt idx="18">
                  <c:v>28292869</c:v>
                </c:pt>
                <c:pt idx="19">
                  <c:v>31266202</c:v>
                </c:pt>
                <c:pt idx="20">
                  <c:v>33985785</c:v>
                </c:pt>
                <c:pt idx="21">
                  <c:v>37009868</c:v>
                </c:pt>
                <c:pt idx="22">
                  <c:v>39272701</c:v>
                </c:pt>
                <c:pt idx="23">
                  <c:v>41789284</c:v>
                </c:pt>
                <c:pt idx="24">
                  <c:v>44762617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Лист1!$C$92</c:f>
              <c:strCache>
                <c:ptCount val="1"/>
                <c:pt idx="0">
                  <c:v>Остаток по кредиту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Лист1!$A$93:$A$129</c:f>
              <c:strCach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strCache>
            </c:strRef>
          </c:cat>
          <c:val>
            <c:numRef>
              <c:f>Лист1!$C$93:$C$129</c:f>
              <c:numCache>
                <c:formatCode>General</c:formatCode>
                <c:ptCount val="37"/>
                <c:pt idx="0">
                  <c:v>1000000</c:v>
                </c:pt>
                <c:pt idx="1">
                  <c:v>958333</c:v>
                </c:pt>
                <c:pt idx="2">
                  <c:v>916666</c:v>
                </c:pt>
                <c:pt idx="3">
                  <c:v>874999</c:v>
                </c:pt>
                <c:pt idx="4">
                  <c:v>833332</c:v>
                </c:pt>
                <c:pt idx="5">
                  <c:v>791665</c:v>
                </c:pt>
                <c:pt idx="6">
                  <c:v>749998</c:v>
                </c:pt>
                <c:pt idx="7">
                  <c:v>708331</c:v>
                </c:pt>
                <c:pt idx="8">
                  <c:v>666664</c:v>
                </c:pt>
                <c:pt idx="9">
                  <c:v>624997</c:v>
                </c:pt>
                <c:pt idx="10">
                  <c:v>583330</c:v>
                </c:pt>
                <c:pt idx="11">
                  <c:v>541663</c:v>
                </c:pt>
                <c:pt idx="12">
                  <c:v>499996</c:v>
                </c:pt>
                <c:pt idx="13">
                  <c:v>458329</c:v>
                </c:pt>
                <c:pt idx="14">
                  <c:v>416662</c:v>
                </c:pt>
                <c:pt idx="15">
                  <c:v>374995</c:v>
                </c:pt>
                <c:pt idx="16">
                  <c:v>333328</c:v>
                </c:pt>
                <c:pt idx="17">
                  <c:v>291661</c:v>
                </c:pt>
                <c:pt idx="18">
                  <c:v>249994</c:v>
                </c:pt>
                <c:pt idx="19">
                  <c:v>208327</c:v>
                </c:pt>
                <c:pt idx="20">
                  <c:v>166660</c:v>
                </c:pt>
                <c:pt idx="21">
                  <c:v>124993</c:v>
                </c:pt>
                <c:pt idx="22">
                  <c:v>83326</c:v>
                </c:pt>
                <c:pt idx="23">
                  <c:v>41659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965155"/>
        <c:axId val="64847619"/>
      </c:lineChart>
      <c:catAx>
        <c:axId val="259651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847619"/>
        <c:crosses val="autoZero"/>
        <c:auto val="1"/>
        <c:lblAlgn val="ctr"/>
        <c:lblOffset val="100"/>
        <c:noMultiLvlLbl val="0"/>
      </c:catAx>
      <c:valAx>
        <c:axId val="648476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in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65155"/>
        <c:crosses val="autoZero"/>
        <c:crossBetween val="between"/>
        <c:dispUnits>
          <c:builtInUnit val="thousands"/>
          <c:dispUnitsLbl/>
        </c:dispUnits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520200</xdr:colOff>
      <xdr:row>56</xdr:row>
      <xdr:rowOff>146160</xdr:rowOff>
    </xdr:from>
    <xdr:to>
      <xdr:col>7</xdr:col>
      <xdr:colOff>673920</xdr:colOff>
      <xdr:row>57</xdr:row>
      <xdr:rowOff>139320</xdr:rowOff>
    </xdr:to>
    <xdr:sp>
      <xdr:nvSpPr>
        <xdr:cNvPr id="0" name="AutoShape 3"/>
        <xdr:cNvSpPr/>
      </xdr:nvSpPr>
      <xdr:spPr>
        <a:xfrm>
          <a:off x="10737000" y="11047680"/>
          <a:ext cx="153720" cy="168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1144440</xdr:colOff>
      <xdr:row>93</xdr:row>
      <xdr:rowOff>96480</xdr:rowOff>
    </xdr:from>
    <xdr:to>
      <xdr:col>11</xdr:col>
      <xdr:colOff>703080</xdr:colOff>
      <xdr:row>115</xdr:row>
      <xdr:rowOff>170640</xdr:rowOff>
    </xdr:to>
    <xdr:graphicFrame>
      <xdr:nvGraphicFramePr>
        <xdr:cNvPr id="1" name="Диаграмма 1"/>
        <xdr:cNvGraphicFramePr/>
      </xdr:nvGraphicFramePr>
      <xdr:xfrm>
        <a:off x="13046040" y="17482680"/>
        <a:ext cx="5895360" cy="392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I1:R12" headerRowCount="1" totalsRowCount="0" totalsRowShown="0">
  <autoFilter ref="I1:R12"/>
  <tableColumns count="10">
    <tableColumn id="1" name="Столбец1"/>
    <tableColumn id="2" name="минимальные"/>
    <tableColumn id="3" name="наиболее вер"/>
    <tableColumn id="4" name="максимальные"/>
    <tableColumn id="5" name="средняя"/>
    <tableColumn id="6" name="квадр откл"/>
    <tableColumn id="7" name="Ei"/>
    <tableColumn id="8" name="СКО^2"/>
    <tableColumn id="9" name="Столбец2"/>
    <tableColumn id="10" name="Столбец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1"/>
  <sheetViews>
    <sheetView showFormulas="false" showGridLines="true" showRowColHeaders="true" showZeros="true" rightToLeft="false" tabSelected="true" showOutlineSymbols="true" defaultGridColor="true" view="normal" topLeftCell="A85" colorId="64" zoomScale="110" zoomScaleNormal="110" zoomScalePageLayoutView="100" workbookViewId="0">
      <selection pane="topLeft" activeCell="E106" activeCellId="0" sqref="E10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19.14"/>
    <col collapsed="false" customWidth="true" hidden="false" outlineLevel="0" max="3" min="3" style="0" width="18.58"/>
    <col collapsed="false" customWidth="true" hidden="false" outlineLevel="0" max="4" min="4" style="0" width="22.43"/>
    <col collapsed="false" customWidth="true" hidden="false" outlineLevel="0" max="5" min="5" style="0" width="21.09"/>
    <col collapsed="false" customWidth="true" hidden="false" outlineLevel="0" max="6" min="6" style="0" width="23.01"/>
    <col collapsed="false" customWidth="true" hidden="false" outlineLevel="0" max="7" min="7" style="0" width="22.43"/>
    <col collapsed="false" customWidth="true" hidden="false" outlineLevel="0" max="8" min="8" style="0" width="23.88"/>
    <col collapsed="false" customWidth="true" hidden="false" outlineLevel="0" max="9" min="9" style="0" width="22.14"/>
    <col collapsed="false" customWidth="true" hidden="false" outlineLevel="0" max="10" min="10" style="0" width="26.94"/>
    <col collapsed="false" customWidth="true" hidden="false" outlineLevel="0" max="11" min="11" style="0" width="40.72"/>
    <col collapsed="false" customWidth="true" hidden="false" outlineLevel="0" max="12" min="12" style="0" width="39.91"/>
    <col collapsed="false" customWidth="true" hidden="false" outlineLevel="0" max="13" min="13" style="0" width="51.95"/>
    <col collapsed="false" customWidth="true" hidden="false" outlineLevel="0" max="14" min="14" style="0" width="20.82"/>
    <col collapsed="false" customWidth="true" hidden="false" outlineLevel="0" max="16" min="15" style="0" width="17.68"/>
    <col collapsed="false" customWidth="true" hidden="false" outlineLevel="0" max="17" min="17" style="0" width="27.2"/>
  </cols>
  <sheetData>
    <row r="1" customFormat="false" ht="24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1" t="s">
        <v>15</v>
      </c>
      <c r="R1" s="1" t="s">
        <v>16</v>
      </c>
    </row>
    <row r="2" customFormat="false" ht="24" hidden="false" customHeight="true" outlineLevel="0" collapsed="false">
      <c r="A2" s="0" t="n">
        <v>0</v>
      </c>
      <c r="B2" s="0" t="n">
        <f aca="false">E2*$F$32+F2*$G$32-G2</f>
        <v>-100000</v>
      </c>
      <c r="C2" s="5" t="n">
        <v>0.1</v>
      </c>
      <c r="D2" s="0" t="n">
        <v>-5700000</v>
      </c>
      <c r="E2" s="0" t="n">
        <v>0</v>
      </c>
      <c r="F2" s="6" t="n">
        <f aca="false">E2*0.015</f>
        <v>0</v>
      </c>
      <c r="G2" s="0" t="n">
        <v>100000</v>
      </c>
      <c r="H2" s="0" t="n">
        <f aca="false">SUM(G2:G12)</f>
        <v>310000</v>
      </c>
      <c r="I2" s="7" t="s">
        <v>17</v>
      </c>
      <c r="J2" s="8" t="n">
        <v>1</v>
      </c>
      <c r="K2" s="8" t="n">
        <v>6</v>
      </c>
      <c r="L2" s="8" t="n">
        <v>8</v>
      </c>
      <c r="M2" s="9" t="n">
        <f aca="false">AVERAGE(J2:L2)</f>
        <v>5</v>
      </c>
      <c r="N2" s="10" t="n">
        <f aca="false">(L2-J2)/6</f>
        <v>1.16666666666667</v>
      </c>
      <c r="O2" s="10" t="n">
        <f aca="false">(L2+4*K2+J2)/6</f>
        <v>5.5</v>
      </c>
      <c r="P2" s="11" t="n">
        <f aca="false">M2*M2</f>
        <v>25</v>
      </c>
    </row>
    <row r="3" customFormat="false" ht="24" hidden="false" customHeight="true" outlineLevel="0" collapsed="false">
      <c r="A3" s="0" t="n">
        <v>1</v>
      </c>
      <c r="B3" s="0" t="n">
        <f aca="false">E3*$F$32+F3*$G$32-G3</f>
        <v>0</v>
      </c>
      <c r="C3" s="5" t="n">
        <v>0.1</v>
      </c>
      <c r="D3" s="0" t="n">
        <f aca="false">B3*0.9</f>
        <v>0</v>
      </c>
      <c r="E3" s="0" t="n">
        <v>0</v>
      </c>
      <c r="F3" s="6" t="n">
        <f aca="false">E3*0.015</f>
        <v>0</v>
      </c>
      <c r="G3" s="0" t="n">
        <v>0</v>
      </c>
      <c r="I3" s="7" t="s">
        <v>18</v>
      </c>
      <c r="J3" s="8" t="n">
        <v>75</v>
      </c>
      <c r="K3" s="8" t="n">
        <v>250</v>
      </c>
      <c r="L3" s="8" t="n">
        <v>300</v>
      </c>
      <c r="M3" s="12" t="n">
        <f aca="false">AVERAGE(J3:L3)</f>
        <v>208.333333333333</v>
      </c>
      <c r="N3" s="13" t="n">
        <f aca="false">(L3-J3)/6</f>
        <v>37.5</v>
      </c>
      <c r="O3" s="14" t="n">
        <f aca="false">(L3+4*K3+J3)/6</f>
        <v>229.166666666667</v>
      </c>
      <c r="P3" s="15" t="n">
        <f aca="false">M3*M3</f>
        <v>43402.7777777778</v>
      </c>
    </row>
    <row r="4" customFormat="false" ht="24" hidden="false" customHeight="true" outlineLevel="0" collapsed="false">
      <c r="A4" s="0" t="n">
        <v>2</v>
      </c>
      <c r="B4" s="0" t="n">
        <f aca="false">E4*$F$32+F4*$G$32-G4</f>
        <v>0</v>
      </c>
      <c r="C4" s="5" t="n">
        <v>0.1</v>
      </c>
      <c r="D4" s="0" t="n">
        <f aca="false">B4*0.9</f>
        <v>0</v>
      </c>
      <c r="E4" s="0" t="n">
        <v>0</v>
      </c>
      <c r="F4" s="6" t="n">
        <f aca="false">E4*0.015</f>
        <v>0</v>
      </c>
      <c r="G4" s="0" t="n">
        <v>0</v>
      </c>
      <c r="I4" s="7" t="s">
        <v>19</v>
      </c>
      <c r="J4" s="8" t="n">
        <v>25</v>
      </c>
      <c r="K4" s="8" t="n">
        <v>50</v>
      </c>
      <c r="L4" s="8" t="n">
        <v>92</v>
      </c>
      <c r="M4" s="12" t="n">
        <f aca="false">AVERAGE(J4:L4)</f>
        <v>55.6666666666667</v>
      </c>
      <c r="N4" s="13" t="n">
        <f aca="false">(L4-J4)/6</f>
        <v>11.1666666666667</v>
      </c>
      <c r="O4" s="10" t="n">
        <f aca="false">(L4+4*K4+J4)/6</f>
        <v>52.8333333333333</v>
      </c>
      <c r="P4" s="15" t="n">
        <f aca="false">M4*M4</f>
        <v>3098.77777777778</v>
      </c>
    </row>
    <row r="5" customFormat="false" ht="24" hidden="false" customHeight="true" outlineLevel="0" collapsed="false">
      <c r="A5" s="0" t="n">
        <v>3</v>
      </c>
      <c r="B5" s="0" t="n">
        <f aca="false">E5*$F$32+F5*$G$32-G5</f>
        <v>0</v>
      </c>
      <c r="C5" s="5" t="n">
        <v>0.1</v>
      </c>
      <c r="D5" s="0" t="n">
        <f aca="false">B5*0.9</f>
        <v>0</v>
      </c>
      <c r="E5" s="0" t="n">
        <v>0</v>
      </c>
      <c r="F5" s="6" t="n">
        <f aca="false">E5*0.015</f>
        <v>0</v>
      </c>
      <c r="G5" s="0" t="n">
        <v>0</v>
      </c>
      <c r="I5" s="7" t="s">
        <v>20</v>
      </c>
      <c r="J5" s="8" t="n">
        <v>150</v>
      </c>
      <c r="K5" s="8" t="n">
        <v>320</v>
      </c>
      <c r="L5" s="8" t="n">
        <v>410</v>
      </c>
      <c r="M5" s="12" t="n">
        <f aca="false">AVERAGE(J5:L5)</f>
        <v>293.333333333333</v>
      </c>
      <c r="N5" s="13" t="n">
        <f aca="false">(L5-J5)/6</f>
        <v>43.3333333333333</v>
      </c>
      <c r="O5" s="13" t="n">
        <f aca="false">(L5+4*K5+J5)/6</f>
        <v>306.666666666667</v>
      </c>
      <c r="P5" s="15" t="n">
        <f aca="false">M5*M5</f>
        <v>86044.4444444444</v>
      </c>
    </row>
    <row r="6" customFormat="false" ht="24" hidden="false" customHeight="true" outlineLevel="0" collapsed="false">
      <c r="A6" s="0" t="n">
        <v>4</v>
      </c>
      <c r="B6" s="0" t="n">
        <f aca="false">E6*$F$32+F6*$G$32-G6</f>
        <v>-24925</v>
      </c>
      <c r="C6" s="5" t="n">
        <v>0.1</v>
      </c>
      <c r="D6" s="0" t="n">
        <f aca="false">B6*0.9</f>
        <v>-22432.5</v>
      </c>
      <c r="E6" s="0" t="n">
        <v>100</v>
      </c>
      <c r="F6" s="6" t="n">
        <f aca="false">E6*0.015</f>
        <v>1.5</v>
      </c>
      <c r="G6" s="0" t="n">
        <v>30000</v>
      </c>
      <c r="I6" s="7" t="s">
        <v>21</v>
      </c>
      <c r="J6" s="8" t="n">
        <v>100</v>
      </c>
      <c r="K6" s="8" t="n">
        <v>150</v>
      </c>
      <c r="L6" s="8" t="n">
        <v>200</v>
      </c>
      <c r="M6" s="12" t="n">
        <f aca="false">AVERAGE(J6:L6)</f>
        <v>150</v>
      </c>
      <c r="N6" s="13" t="n">
        <f aca="false">(L6-J6)/6</f>
        <v>16.6666666666667</v>
      </c>
      <c r="O6" s="13" t="n">
        <f aca="false">(L6+4*K6+J6)/6</f>
        <v>150</v>
      </c>
      <c r="P6" s="15" t="n">
        <f aca="false">M6*M6</f>
        <v>22500</v>
      </c>
    </row>
    <row r="7" customFormat="false" ht="24" hidden="false" customHeight="true" outlineLevel="0" collapsed="false">
      <c r="A7" s="0" t="n">
        <v>5</v>
      </c>
      <c r="B7" s="0" t="n">
        <f aca="false">E7*$F$32+F7*$G$32-G7</f>
        <v>-14775</v>
      </c>
      <c r="C7" s="5" t="n">
        <v>0.1</v>
      </c>
      <c r="D7" s="0" t="n">
        <f aca="false">B7*0.9</f>
        <v>-13297.5</v>
      </c>
      <c r="E7" s="0" t="n">
        <v>300</v>
      </c>
      <c r="F7" s="6" t="n">
        <f aca="false">E7*0.015</f>
        <v>4.5</v>
      </c>
      <c r="G7" s="0" t="n">
        <v>30000</v>
      </c>
      <c r="I7" s="2" t="s">
        <v>22</v>
      </c>
      <c r="J7" s="8" t="n">
        <v>120</v>
      </c>
      <c r="K7" s="8" t="n">
        <v>180</v>
      </c>
      <c r="L7" s="8" t="n">
        <v>240</v>
      </c>
      <c r="M7" s="16" t="n">
        <f aca="false">AVERAGE(J7:L7)</f>
        <v>180</v>
      </c>
      <c r="N7" s="14" t="n">
        <f aca="false">(L7-J7)/6</f>
        <v>20</v>
      </c>
      <c r="O7" s="14" t="n">
        <f aca="false">(L7+4*K7+J7)/6</f>
        <v>180</v>
      </c>
      <c r="P7" s="17" t="n">
        <f aca="false">M7*M7</f>
        <v>32400</v>
      </c>
    </row>
    <row r="8" customFormat="false" ht="17.35" hidden="false" customHeight="false" outlineLevel="0" collapsed="false">
      <c r="A8" s="0" t="n">
        <v>6</v>
      </c>
      <c r="B8" s="0" t="n">
        <f aca="false">E8*$F$32+F8*$G$32-G8</f>
        <v>46125</v>
      </c>
      <c r="C8" s="5" t="n">
        <v>0.1</v>
      </c>
      <c r="D8" s="0" t="n">
        <f aca="false">B8*0.9</f>
        <v>41512.5</v>
      </c>
      <c r="E8" s="0" t="n">
        <v>1500</v>
      </c>
      <c r="F8" s="6" t="n">
        <f aca="false">E8*0.015</f>
        <v>22.5</v>
      </c>
      <c r="G8" s="0" t="n">
        <v>30000</v>
      </c>
      <c r="I8" s="18" t="s">
        <v>23</v>
      </c>
      <c r="J8" s="0" t="n">
        <f aca="false">SUM(O2:O7)</f>
        <v>924.166666666667</v>
      </c>
      <c r="K8" s="0" t="s">
        <v>24</v>
      </c>
    </row>
    <row r="9" customFormat="false" ht="17.35" hidden="false" customHeight="false" outlineLevel="0" collapsed="false">
      <c r="A9" s="0" t="n">
        <v>7</v>
      </c>
      <c r="B9" s="0" t="n">
        <f aca="false">E9*$F$32+F9*$G$32-G9</f>
        <v>985000</v>
      </c>
      <c r="C9" s="5" t="n">
        <v>0.1</v>
      </c>
      <c r="D9" s="0" t="n">
        <f aca="false">B9*0.9</f>
        <v>886500</v>
      </c>
      <c r="E9" s="0" t="n">
        <v>20000</v>
      </c>
      <c r="F9" s="6" t="n">
        <f aca="false">E9*0.015</f>
        <v>300</v>
      </c>
      <c r="G9" s="0" t="n">
        <v>30000</v>
      </c>
      <c r="I9" s="18" t="s">
        <v>25</v>
      </c>
      <c r="J9" s="0" t="n">
        <f aca="false">SQRT(SUM(P2:P7))</f>
        <v>432.979214281702</v>
      </c>
      <c r="K9" s="0" t="s">
        <v>26</v>
      </c>
    </row>
    <row r="10" customFormat="false" ht="17.35" hidden="false" customHeight="false" outlineLevel="0" collapsed="false">
      <c r="A10" s="0" t="n">
        <v>8</v>
      </c>
      <c r="B10" s="0" t="n">
        <f aca="false">E10*$F$32+F10*$G$32-G10</f>
        <v>2507500</v>
      </c>
      <c r="C10" s="5" t="n">
        <v>0.1</v>
      </c>
      <c r="D10" s="0" t="n">
        <f aca="false">B10*0.9</f>
        <v>2256750</v>
      </c>
      <c r="E10" s="0" t="n">
        <v>50000</v>
      </c>
      <c r="F10" s="6" t="n">
        <f aca="false">E10*0.015</f>
        <v>750</v>
      </c>
      <c r="G10" s="0" t="n">
        <v>30000</v>
      </c>
      <c r="I10" s="18" t="s">
        <v>27</v>
      </c>
      <c r="J10" s="0" t="n">
        <f aca="false">J8+2*J9</f>
        <v>1790.12509523007</v>
      </c>
      <c r="K10" s="0" t="n">
        <f aca="false">J10/(8*23)</f>
        <v>9.72894073494604</v>
      </c>
      <c r="M10" s="19" t="s">
        <v>28</v>
      </c>
    </row>
    <row r="11" customFormat="false" ht="17.35" hidden="false" customHeight="false" outlineLevel="0" collapsed="false">
      <c r="A11" s="0" t="n">
        <v>9</v>
      </c>
      <c r="B11" s="0" t="n">
        <f aca="false">E11*$F$32+F11*$G$32-G11</f>
        <v>3015000</v>
      </c>
      <c r="C11" s="5" t="n">
        <v>0.1</v>
      </c>
      <c r="D11" s="0" t="n">
        <f aca="false">B11*0.9</f>
        <v>2713500</v>
      </c>
      <c r="E11" s="0" t="n">
        <v>60000</v>
      </c>
      <c r="F11" s="6" t="n">
        <f aca="false">E11*0.015</f>
        <v>900</v>
      </c>
      <c r="G11" s="0" t="n">
        <v>30000</v>
      </c>
      <c r="I11" s="18" t="s">
        <v>29</v>
      </c>
      <c r="J11" s="0" t="n">
        <f aca="false">2.5*(POWER(K10,1/3))</f>
        <v>5.33697532168787</v>
      </c>
    </row>
    <row r="12" customFormat="false" ht="13.8" hidden="false" customHeight="false" outlineLevel="0" collapsed="false">
      <c r="A12" s="0" t="n">
        <v>10</v>
      </c>
      <c r="B12" s="0" t="n">
        <f aca="false">E12*$F$32+F12*$G$32-G12</f>
        <v>2761250</v>
      </c>
      <c r="C12" s="5" t="n">
        <v>0.1</v>
      </c>
      <c r="D12" s="0" t="n">
        <f aca="false">B12*0.9</f>
        <v>2485125</v>
      </c>
      <c r="E12" s="0" t="n">
        <v>55000</v>
      </c>
      <c r="F12" s="6" t="n">
        <f aca="false">E12*0.015</f>
        <v>825</v>
      </c>
      <c r="G12" s="0" t="n">
        <v>30000</v>
      </c>
    </row>
    <row r="13" customFormat="false" ht="13.8" hidden="false" customHeight="false" outlineLevel="0" collapsed="false">
      <c r="A13" s="0" t="n">
        <v>11</v>
      </c>
      <c r="B13" s="0" t="n">
        <f aca="false">E13*$F$32+F13*$G$32-G13</f>
        <v>3065750</v>
      </c>
      <c r="C13" s="5" t="n">
        <v>0.1</v>
      </c>
      <c r="D13" s="0" t="n">
        <f aca="false">B13*0.89</f>
        <v>2728517.5</v>
      </c>
      <c r="E13" s="0" t="n">
        <v>61000</v>
      </c>
      <c r="F13" s="6" t="n">
        <f aca="false">E13*0.015</f>
        <v>915</v>
      </c>
      <c r="G13" s="0" t="n">
        <v>30000</v>
      </c>
    </row>
    <row r="14" customFormat="false" ht="13.8" hidden="false" customHeight="false" outlineLevel="0" collapsed="false">
      <c r="A14" s="0" t="n">
        <v>12</v>
      </c>
      <c r="B14" s="0" t="n">
        <f aca="false">E14*$F$32+F14*$G$32-G14</f>
        <v>2913500</v>
      </c>
      <c r="C14" s="5" t="n">
        <v>0.1</v>
      </c>
      <c r="D14" s="0" t="n">
        <f aca="false">B14*0.89</f>
        <v>2593015</v>
      </c>
      <c r="E14" s="0" t="n">
        <v>58000</v>
      </c>
      <c r="F14" s="6" t="n">
        <f aca="false">E14*0.015</f>
        <v>870</v>
      </c>
      <c r="G14" s="0" t="n">
        <v>30000</v>
      </c>
    </row>
    <row r="15" customFormat="false" ht="13.8" hidden="false" customHeight="false" outlineLevel="0" collapsed="false">
      <c r="A15" s="0" t="n">
        <v>13</v>
      </c>
      <c r="B15" s="0" t="n">
        <f aca="false">E15*$F$32+F15*$G$32-G15</f>
        <v>2862750</v>
      </c>
      <c r="C15" s="5" t="n">
        <v>0.1</v>
      </c>
      <c r="D15" s="0" t="n">
        <f aca="false">B15*0.89</f>
        <v>2547847.5</v>
      </c>
      <c r="E15" s="0" t="n">
        <v>57000</v>
      </c>
      <c r="F15" s="6" t="n">
        <f aca="false">E15*0.015</f>
        <v>855</v>
      </c>
      <c r="G15" s="0" t="n">
        <v>30000</v>
      </c>
      <c r="I15" s="20" t="s">
        <v>30</v>
      </c>
      <c r="J15" s="20"/>
      <c r="K15" s="20"/>
      <c r="L15" s="20"/>
      <c r="M15" s="21" t="s">
        <v>31</v>
      </c>
      <c r="N15" s="22"/>
      <c r="O15" s="22"/>
      <c r="P15" s="22"/>
      <c r="Q15" s="23" t="n">
        <v>1</v>
      </c>
      <c r="R15" s="20"/>
    </row>
    <row r="16" customFormat="false" ht="13.8" hidden="false" customHeight="false" outlineLevel="0" collapsed="false">
      <c r="A16" s="0" t="n">
        <v>14</v>
      </c>
      <c r="B16" s="0" t="n">
        <f aca="false">E16*$F$32+F16*$G$32-G16</f>
        <v>1421000</v>
      </c>
      <c r="C16" s="5" t="n">
        <v>0.1</v>
      </c>
      <c r="D16" s="0" t="n">
        <f aca="false">B16*0.89</f>
        <v>1264690</v>
      </c>
      <c r="E16" s="0" t="n">
        <v>28000</v>
      </c>
      <c r="F16" s="6" t="n">
        <f aca="false">E16*0.015</f>
        <v>420</v>
      </c>
      <c r="G16" s="0" t="n">
        <v>0</v>
      </c>
      <c r="I16" s="20" t="s">
        <v>32</v>
      </c>
      <c r="J16" s="20" t="s">
        <v>33</v>
      </c>
      <c r="K16" s="20"/>
      <c r="L16" s="20"/>
      <c r="M16" s="24" t="s">
        <v>34</v>
      </c>
      <c r="N16" s="20"/>
      <c r="O16" s="20"/>
      <c r="P16" s="20"/>
      <c r="Q16" s="25" t="n">
        <v>1</v>
      </c>
      <c r="R16" s="20"/>
    </row>
    <row r="17" customFormat="false" ht="13.8" hidden="false" customHeight="false" outlineLevel="0" collapsed="false">
      <c r="A17" s="0" t="n">
        <v>15</v>
      </c>
      <c r="B17" s="0" t="n">
        <f aca="false">E17*$F$32+F17*$G$32-G17</f>
        <v>1167250</v>
      </c>
      <c r="C17" s="5" t="n">
        <v>0.1</v>
      </c>
      <c r="D17" s="0" t="n">
        <f aca="false">B17*0.89</f>
        <v>1038852.5</v>
      </c>
      <c r="E17" s="0" t="n">
        <v>23000</v>
      </c>
      <c r="F17" s="6" t="n">
        <f aca="false">E17*0.015</f>
        <v>345</v>
      </c>
      <c r="G17" s="0" t="n">
        <v>0</v>
      </c>
      <c r="I17" s="20"/>
      <c r="J17" s="20"/>
      <c r="K17" s="20"/>
      <c r="L17" s="20"/>
      <c r="M17" s="24" t="s">
        <v>35</v>
      </c>
      <c r="N17" s="20"/>
      <c r="O17" s="20"/>
      <c r="P17" s="20"/>
      <c r="Q17" s="25" t="n">
        <v>0</v>
      </c>
      <c r="R17" s="20"/>
    </row>
    <row r="18" customFormat="false" ht="13.8" hidden="false" customHeight="false" outlineLevel="0" collapsed="false">
      <c r="A18" s="0" t="n">
        <v>16</v>
      </c>
      <c r="B18" s="0" t="n">
        <f aca="false">E18*$F$32+F18*$G$32-G18</f>
        <v>2304500</v>
      </c>
      <c r="C18" s="5" t="n">
        <v>0.1</v>
      </c>
      <c r="D18" s="0" t="n">
        <f aca="false">B18*0.89</f>
        <v>2051005</v>
      </c>
      <c r="E18" s="0" t="n">
        <v>46000</v>
      </c>
      <c r="F18" s="6" t="n">
        <f aca="false">E18*0.015</f>
        <v>690</v>
      </c>
      <c r="G18" s="0" t="n">
        <v>30000</v>
      </c>
      <c r="I18" s="20" t="s">
        <v>36</v>
      </c>
      <c r="J18" s="20" t="s">
        <v>37</v>
      </c>
      <c r="K18" s="20" t="s">
        <v>38</v>
      </c>
      <c r="L18" s="20"/>
      <c r="M18" s="24" t="s">
        <v>39</v>
      </c>
      <c r="N18" s="20"/>
      <c r="O18" s="20"/>
      <c r="P18" s="20"/>
      <c r="Q18" s="25" t="n">
        <v>0</v>
      </c>
      <c r="R18" s="20"/>
    </row>
    <row r="19" customFormat="false" ht="13.8" hidden="false" customHeight="false" outlineLevel="0" collapsed="false">
      <c r="A19" s="0" t="n">
        <v>17</v>
      </c>
      <c r="B19" s="0" t="n">
        <f aca="false">E19*$F$32+F19*$G$32-G19</f>
        <v>2558250</v>
      </c>
      <c r="C19" s="5" t="n">
        <v>0.1</v>
      </c>
      <c r="D19" s="0" t="n">
        <f aca="false">B19*0.89</f>
        <v>2276842.5</v>
      </c>
      <c r="E19" s="0" t="n">
        <v>51000</v>
      </c>
      <c r="F19" s="6" t="n">
        <f aca="false">E19*0.015</f>
        <v>765</v>
      </c>
      <c r="G19" s="0" t="n">
        <v>30000</v>
      </c>
      <c r="I19" s="20" t="s">
        <v>40</v>
      </c>
      <c r="J19" s="20" t="n">
        <v>6</v>
      </c>
      <c r="K19" s="20" t="n">
        <v>5</v>
      </c>
      <c r="L19" s="20"/>
      <c r="M19" s="24" t="s">
        <v>41</v>
      </c>
      <c r="N19" s="20"/>
      <c r="O19" s="20"/>
      <c r="P19" s="20"/>
      <c r="Q19" s="25" t="n">
        <v>0</v>
      </c>
      <c r="R19" s="20"/>
    </row>
    <row r="20" customFormat="false" ht="13.8" hidden="false" customHeight="false" outlineLevel="0" collapsed="false">
      <c r="A20" s="0" t="n">
        <v>18</v>
      </c>
      <c r="B20" s="0" t="n">
        <f aca="false">E20*$F$32+F20*$G$32-G20</f>
        <v>3015000</v>
      </c>
      <c r="C20" s="5" t="n">
        <v>0.1</v>
      </c>
      <c r="D20" s="0" t="n">
        <f aca="false">B20*0.89</f>
        <v>2683350</v>
      </c>
      <c r="E20" s="0" t="n">
        <v>60000</v>
      </c>
      <c r="F20" s="6" t="n">
        <f aca="false">E20*0.015</f>
        <v>900</v>
      </c>
      <c r="G20" s="0" t="n">
        <v>30000</v>
      </c>
      <c r="I20" s="20" t="s">
        <v>42</v>
      </c>
      <c r="J20" s="20" t="n">
        <v>4</v>
      </c>
      <c r="K20" s="20" t="n">
        <v>8</v>
      </c>
      <c r="L20" s="20"/>
      <c r="M20" s="24" t="s">
        <v>43</v>
      </c>
      <c r="N20" s="20"/>
      <c r="O20" s="20"/>
      <c r="P20" s="20"/>
      <c r="Q20" s="25" t="n">
        <v>5</v>
      </c>
      <c r="R20" s="20"/>
    </row>
    <row r="21" customFormat="false" ht="13.8" hidden="false" customHeight="false" outlineLevel="0" collapsed="false">
      <c r="A21" s="0" t="n">
        <v>19</v>
      </c>
      <c r="B21" s="0" t="n">
        <f aca="false">E21*$F$32+F21*$G$32-G21</f>
        <v>3015000</v>
      </c>
      <c r="C21" s="5" t="n">
        <v>0.1</v>
      </c>
      <c r="D21" s="0" t="n">
        <f aca="false">B21*0.89</f>
        <v>2683350</v>
      </c>
      <c r="E21" s="0" t="n">
        <v>60000</v>
      </c>
      <c r="F21" s="6" t="n">
        <f aca="false">E21*0.015</f>
        <v>900</v>
      </c>
      <c r="G21" s="0" t="n">
        <v>30000</v>
      </c>
      <c r="I21" s="20" t="s">
        <v>44</v>
      </c>
      <c r="J21" s="20" t="n">
        <v>13</v>
      </c>
      <c r="K21" s="20" t="n">
        <v>11</v>
      </c>
      <c r="L21" s="20"/>
      <c r="M21" s="24" t="s">
        <v>45</v>
      </c>
      <c r="N21" s="20"/>
      <c r="O21" s="20"/>
      <c r="P21" s="20"/>
      <c r="Q21" s="25" t="n">
        <v>0</v>
      </c>
      <c r="R21" s="20"/>
    </row>
    <row r="22" customFormat="false" ht="13.8" hidden="false" customHeight="false" outlineLevel="0" collapsed="false">
      <c r="A22" s="0" t="n">
        <v>20</v>
      </c>
      <c r="B22" s="0" t="n">
        <f aca="false">E22*$F$32+F22*$G$32-G22</f>
        <v>2761250</v>
      </c>
      <c r="C22" s="5" t="n">
        <v>0.1</v>
      </c>
      <c r="D22" s="0" t="n">
        <f aca="false">B22*0.89</f>
        <v>2457512.5</v>
      </c>
      <c r="E22" s="0" t="n">
        <v>55000</v>
      </c>
      <c r="F22" s="6" t="n">
        <f aca="false">E22*0.015</f>
        <v>825</v>
      </c>
      <c r="G22" s="0" t="n">
        <v>30000</v>
      </c>
      <c r="I22" s="20"/>
      <c r="J22" s="20"/>
      <c r="K22" s="20"/>
      <c r="L22" s="20"/>
      <c r="M22" s="24" t="s">
        <v>46</v>
      </c>
      <c r="N22" s="20"/>
      <c r="O22" s="20"/>
      <c r="P22" s="20"/>
      <c r="Q22" s="25" t="n">
        <v>2</v>
      </c>
      <c r="R22" s="20"/>
    </row>
    <row r="23" customFormat="false" ht="13.8" hidden="false" customHeight="false" outlineLevel="0" collapsed="false">
      <c r="A23" s="0" t="n">
        <v>21</v>
      </c>
      <c r="B23" s="0" t="n">
        <f aca="false">E23*$F$32+F23*$G$32-G23</f>
        <v>3065750</v>
      </c>
      <c r="C23" s="5" t="n">
        <v>0.1</v>
      </c>
      <c r="D23" s="0" t="n">
        <f aca="false">B23*0.89</f>
        <v>2728517.5</v>
      </c>
      <c r="E23" s="0" t="n">
        <v>61000</v>
      </c>
      <c r="F23" s="6" t="n">
        <f aca="false">E23*0.015</f>
        <v>915</v>
      </c>
      <c r="G23" s="0" t="n">
        <v>30000</v>
      </c>
      <c r="I23" s="20" t="s">
        <v>47</v>
      </c>
      <c r="J23" s="20" t="s">
        <v>48</v>
      </c>
      <c r="K23" s="20" t="s">
        <v>49</v>
      </c>
      <c r="L23" s="20"/>
      <c r="M23" s="24" t="s">
        <v>50</v>
      </c>
      <c r="N23" s="20"/>
      <c r="O23" s="20"/>
      <c r="P23" s="20"/>
      <c r="Q23" s="25" t="n">
        <v>2</v>
      </c>
      <c r="R23" s="20"/>
    </row>
    <row r="24" customFormat="false" ht="13.8" hidden="false" customHeight="false" outlineLevel="0" collapsed="false">
      <c r="A24" s="0" t="n">
        <v>22</v>
      </c>
      <c r="B24" s="0" t="n">
        <f aca="false">E24*$F$32+F24*$G$32-G24</f>
        <v>2304500</v>
      </c>
      <c r="C24" s="5" t="n">
        <v>0.1</v>
      </c>
      <c r="D24" s="0" t="n">
        <f aca="false">B24*0.89</f>
        <v>2051005</v>
      </c>
      <c r="E24" s="0" t="n">
        <v>46000</v>
      </c>
      <c r="F24" s="6" t="n">
        <f aca="false">E24*0.015</f>
        <v>690</v>
      </c>
      <c r="G24" s="0" t="n">
        <v>30000</v>
      </c>
      <c r="I24" s="20" t="s">
        <v>40</v>
      </c>
      <c r="J24" s="20" t="n">
        <v>4</v>
      </c>
      <c r="K24" s="20" t="n">
        <v>5</v>
      </c>
      <c r="L24" s="20"/>
      <c r="M24" s="24" t="s">
        <v>51</v>
      </c>
      <c r="N24" s="20"/>
      <c r="O24" s="20"/>
      <c r="P24" s="20"/>
      <c r="Q24" s="25" t="n">
        <v>1</v>
      </c>
      <c r="R24" s="20"/>
    </row>
    <row r="25" customFormat="false" ht="13.8" hidden="false" customHeight="false" outlineLevel="0" collapsed="false">
      <c r="A25" s="0" t="n">
        <v>23</v>
      </c>
      <c r="B25" s="0" t="n">
        <f aca="false">E25*$F$32+F25*$G$32-G25</f>
        <v>2558250</v>
      </c>
      <c r="C25" s="5" t="n">
        <v>0.1</v>
      </c>
      <c r="D25" s="0" t="n">
        <f aca="false">B25*0.89</f>
        <v>2276842.5</v>
      </c>
      <c r="E25" s="0" t="n">
        <v>51000</v>
      </c>
      <c r="F25" s="6" t="n">
        <f aca="false">E25*0.015</f>
        <v>765</v>
      </c>
      <c r="G25" s="0" t="n">
        <v>30000</v>
      </c>
      <c r="I25" s="20" t="s">
        <v>42</v>
      </c>
      <c r="J25" s="20" t="n">
        <v>11</v>
      </c>
      <c r="K25" s="20" t="n">
        <v>13</v>
      </c>
      <c r="L25" s="20"/>
      <c r="M25" s="24" t="s">
        <v>52</v>
      </c>
      <c r="N25" s="20"/>
      <c r="O25" s="20"/>
      <c r="P25" s="20"/>
      <c r="Q25" s="25" t="n">
        <v>3</v>
      </c>
      <c r="R25" s="20"/>
    </row>
    <row r="26" customFormat="false" ht="13.8" hidden="false" customHeight="false" outlineLevel="0" collapsed="false">
      <c r="A26" s="0" t="n">
        <v>24</v>
      </c>
      <c r="B26" s="0" t="n">
        <f aca="false">E26*$F$32+F26*$G$32-G26</f>
        <v>3015000</v>
      </c>
      <c r="C26" s="5" t="n">
        <v>0.1</v>
      </c>
      <c r="D26" s="0" t="n">
        <f aca="false">B26*0.89</f>
        <v>2683350</v>
      </c>
      <c r="E26" s="0" t="n">
        <v>60000</v>
      </c>
      <c r="F26" s="6" t="n">
        <f aca="false">E26*0.015</f>
        <v>900</v>
      </c>
      <c r="G26" s="0" t="n">
        <v>30000</v>
      </c>
      <c r="I26" s="20" t="s">
        <v>44</v>
      </c>
      <c r="J26" s="20" t="n">
        <v>7</v>
      </c>
      <c r="K26" s="20" t="n">
        <v>8</v>
      </c>
      <c r="L26" s="20"/>
      <c r="M26" s="24" t="s">
        <v>53</v>
      </c>
      <c r="N26" s="20"/>
      <c r="O26" s="20"/>
      <c r="P26" s="20"/>
      <c r="Q26" s="25" t="n">
        <v>0</v>
      </c>
      <c r="R26" s="20"/>
    </row>
    <row r="27" customFormat="false" ht="13.8" hidden="false" customHeight="false" outlineLevel="0" collapsed="false">
      <c r="A27" s="0" t="n">
        <v>25</v>
      </c>
      <c r="B27" s="0" t="n">
        <f aca="false">E27*$F$32+F27*$G$32-G27</f>
        <v>3065750</v>
      </c>
      <c r="C27" s="5" t="n">
        <v>0.1</v>
      </c>
      <c r="D27" s="0" t="n">
        <f aca="false">B27*0.89</f>
        <v>2728517.5</v>
      </c>
      <c r="E27" s="0" t="n">
        <v>61000</v>
      </c>
      <c r="F27" s="6" t="n">
        <f aca="false">E27*0.015</f>
        <v>915</v>
      </c>
      <c r="G27" s="0" t="n">
        <v>30000</v>
      </c>
      <c r="I27" s="20"/>
      <c r="J27" s="20"/>
      <c r="K27" s="20"/>
      <c r="L27" s="20"/>
      <c r="M27" s="24" t="s">
        <v>54</v>
      </c>
      <c r="N27" s="20"/>
      <c r="O27" s="20"/>
      <c r="P27" s="20"/>
      <c r="Q27" s="25" t="n">
        <v>5</v>
      </c>
      <c r="R27" s="20"/>
    </row>
    <row r="28" customFormat="false" ht="13.8" hidden="false" customHeight="false" outlineLevel="0" collapsed="false">
      <c r="A28" s="0" t="n">
        <v>26</v>
      </c>
      <c r="B28" s="0" t="n">
        <f aca="false">E28*$F$32+F28*$G$32-G28</f>
        <v>2913500</v>
      </c>
      <c r="C28" s="5" t="n">
        <v>0.1</v>
      </c>
      <c r="D28" s="0" t="n">
        <f aca="false">B28*0.89</f>
        <v>2593015</v>
      </c>
      <c r="E28" s="0" t="n">
        <v>58000</v>
      </c>
      <c r="F28" s="6" t="n">
        <f aca="false">E28*0.015</f>
        <v>870</v>
      </c>
      <c r="G28" s="0" t="n">
        <v>30000</v>
      </c>
      <c r="I28" s="21" t="s">
        <v>55</v>
      </c>
      <c r="J28" s="22" t="n">
        <f aca="false">SUM(J19:K21)+SUM(J24:K26)</f>
        <v>95</v>
      </c>
      <c r="K28" s="26"/>
      <c r="L28" s="20"/>
      <c r="M28" s="27" t="s">
        <v>56</v>
      </c>
      <c r="N28" s="28"/>
      <c r="O28" s="28"/>
      <c r="P28" s="28"/>
      <c r="Q28" s="29" t="n">
        <v>0</v>
      </c>
      <c r="R28" s="20"/>
    </row>
    <row r="29" customFormat="false" ht="13.8" hidden="false" customHeight="false" outlineLevel="0" collapsed="false">
      <c r="C29" s="5"/>
      <c r="I29" s="27" t="s">
        <v>57</v>
      </c>
      <c r="J29" s="28"/>
      <c r="K29" s="30"/>
      <c r="L29" s="20"/>
      <c r="M29" s="20"/>
      <c r="N29" s="20"/>
      <c r="O29" s="20"/>
      <c r="P29" s="20"/>
      <c r="Q29" s="20"/>
      <c r="R29" s="20"/>
    </row>
    <row r="30" customFormat="false" ht="13.8" hidden="false" customHeight="false" outlineLevel="0" collapsed="false">
      <c r="C30" s="5"/>
      <c r="I30" s="20"/>
      <c r="J30" s="20"/>
      <c r="K30" s="20"/>
      <c r="L30" s="20"/>
      <c r="M30" s="20"/>
      <c r="N30" s="31" t="s">
        <v>58</v>
      </c>
      <c r="O30" s="32"/>
      <c r="P30" s="32" t="s">
        <v>59</v>
      </c>
      <c r="Q30" s="33" t="n">
        <f aca="false">SUM(Q15:Q28)</f>
        <v>20</v>
      </c>
      <c r="R30" s="20"/>
    </row>
    <row r="31" customFormat="false" ht="13.8" hidden="false" customHeight="false" outlineLevel="0" collapsed="false">
      <c r="C31" s="5"/>
      <c r="F31" s="0" t="s">
        <v>60</v>
      </c>
      <c r="G31" s="0" t="s">
        <v>61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customFormat="false" ht="13.8" hidden="false" customHeight="false" outlineLevel="0" collapsed="false">
      <c r="A32" s="34" t="s">
        <v>62</v>
      </c>
      <c r="C32" s="5"/>
      <c r="F32" s="0" t="n">
        <v>50</v>
      </c>
      <c r="G32" s="0" t="n">
        <v>50</v>
      </c>
      <c r="I32" s="20"/>
      <c r="J32" s="20" t="s">
        <v>63</v>
      </c>
      <c r="K32" s="20" t="s">
        <v>64</v>
      </c>
      <c r="L32" s="20" t="n">
        <f aca="false">Q30*0.01+0.65</f>
        <v>0.85</v>
      </c>
      <c r="M32" s="20"/>
      <c r="N32" s="20"/>
      <c r="O32" s="20"/>
      <c r="P32" s="20"/>
      <c r="Q32" s="20"/>
      <c r="R32" s="20"/>
    </row>
    <row r="33" customFormat="false" ht="13.8" hidden="false" customHeight="false" outlineLevel="0" collapsed="false">
      <c r="A33" s="34" t="s">
        <v>65</v>
      </c>
      <c r="B33" s="34"/>
      <c r="C33" s="34"/>
      <c r="D33" s="34" t="s">
        <v>3</v>
      </c>
      <c r="I33" s="20"/>
      <c r="J33" s="20" t="s">
        <v>66</v>
      </c>
      <c r="K33" s="20" t="s">
        <v>67</v>
      </c>
      <c r="L33" s="20" t="n">
        <f aca="false">J28*L32</f>
        <v>80.75</v>
      </c>
      <c r="M33" s="20"/>
      <c r="N33" s="20"/>
      <c r="O33" s="20"/>
      <c r="P33" s="20"/>
      <c r="Q33" s="20"/>
      <c r="R33" s="20"/>
    </row>
    <row r="34" customFormat="false" ht="13.8" hidden="false" customHeight="false" outlineLevel="0" collapsed="false">
      <c r="A34" s="34" t="n">
        <f aca="false">7400000*(1+(0.1*(1/12)))^26</f>
        <v>9182035.14477061</v>
      </c>
      <c r="B34" s="34" t="n">
        <f aca="false">SUM(B2:B32)</f>
        <v>51182175</v>
      </c>
      <c r="C34" s="34"/>
      <c r="D34" s="34" t="n">
        <f aca="false">SUM(D2:D28)</f>
        <v>40033887.5</v>
      </c>
      <c r="I34" s="20"/>
      <c r="J34" s="20" t="s">
        <v>68</v>
      </c>
      <c r="K34" s="20" t="s">
        <v>69</v>
      </c>
      <c r="L34" s="35" t="n">
        <f aca="false">(J28+20)*L32</f>
        <v>97.75</v>
      </c>
      <c r="M34" s="20"/>
      <c r="N34" s="20"/>
      <c r="O34" s="20"/>
      <c r="P34" s="20"/>
      <c r="Q34" s="20"/>
      <c r="R34" s="20"/>
    </row>
    <row r="35" customFormat="false" ht="13.8" hidden="false" customHeight="false" outlineLevel="0" collapsed="false">
      <c r="A35" s="34" t="s">
        <v>70</v>
      </c>
      <c r="B35" s="34"/>
      <c r="C35" s="34" t="s">
        <v>71</v>
      </c>
      <c r="D35" s="34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customFormat="false" ht="13.8" hidden="false" customHeight="false" outlineLevel="0" collapsed="false">
      <c r="A36" s="34" t="n">
        <f aca="false">1/A34*D34</f>
        <v>4.36002333565455</v>
      </c>
      <c r="B36" s="34"/>
      <c r="C36" s="36" t="n">
        <f aca="false">IRR(B2:B28)</f>
        <v>0.728745829876411</v>
      </c>
      <c r="D36" s="34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customFormat="false" ht="13.8" hidden="false" customHeight="false" outlineLevel="0" collapsed="false">
      <c r="A37" s="34"/>
      <c r="B37" s="34"/>
      <c r="C37" s="34"/>
      <c r="D37" s="34"/>
    </row>
    <row r="38" customFormat="false" ht="13.8" hidden="false" customHeight="false" outlineLevel="0" collapsed="false">
      <c r="A38" s="34" t="s">
        <v>72</v>
      </c>
      <c r="B38" s="34"/>
      <c r="C38" s="34" t="s">
        <v>73</v>
      </c>
      <c r="D38" s="34"/>
      <c r="I38" s="0" t="s">
        <v>74</v>
      </c>
    </row>
    <row r="39" customFormat="false" ht="13.8" hidden="false" customHeight="false" outlineLevel="0" collapsed="false">
      <c r="A39" s="34" t="n">
        <f aca="false">7400000/10790000+10/12</f>
        <v>1.51915353722583</v>
      </c>
      <c r="B39" s="34"/>
      <c r="C39" s="34" t="n">
        <f aca="false">D34/(-(SUM(D2:D7)))</f>
        <v>6.97973710408265</v>
      </c>
      <c r="D39" s="34"/>
    </row>
    <row r="40" customFormat="false" ht="13.8" hidden="false" customHeight="false" outlineLevel="0" collapsed="false">
      <c r="I40" s="0" t="s">
        <v>75</v>
      </c>
      <c r="J40" s="0" t="s">
        <v>76</v>
      </c>
      <c r="K40" s="0" t="s">
        <v>77</v>
      </c>
      <c r="L40" s="0" t="s">
        <v>78</v>
      </c>
    </row>
    <row r="41" customFormat="false" ht="13.8" hidden="false" customHeight="false" outlineLevel="0" collapsed="false">
      <c r="I41" s="0" t="s">
        <v>79</v>
      </c>
      <c r="J41" s="0" t="s">
        <v>80</v>
      </c>
    </row>
    <row r="42" customFormat="false" ht="13.8" hidden="false" customHeight="false" outlineLevel="0" collapsed="false">
      <c r="A42" s="0" t="s">
        <v>81</v>
      </c>
      <c r="C42" s="0" t="n">
        <f aca="false">D34</f>
        <v>40033887.5</v>
      </c>
      <c r="I42" s="0" t="s">
        <v>82</v>
      </c>
      <c r="J42" s="0" t="n">
        <v>250</v>
      </c>
      <c r="K42" s="0" t="n">
        <v>90</v>
      </c>
      <c r="L42" s="0" t="n">
        <v>300</v>
      </c>
    </row>
    <row r="43" customFormat="false" ht="13.8" hidden="false" customHeight="false" outlineLevel="0" collapsed="false">
      <c r="A43" s="0" t="s">
        <v>83</v>
      </c>
      <c r="C43" s="0" t="n">
        <f aca="false">A36</f>
        <v>4.36002333565455</v>
      </c>
      <c r="I43" s="0" t="s">
        <v>84</v>
      </c>
      <c r="J43" s="0" t="n">
        <v>110</v>
      </c>
      <c r="K43" s="0" t="n">
        <v>100</v>
      </c>
      <c r="L43" s="0" t="n">
        <v>250</v>
      </c>
    </row>
    <row r="44" customFormat="false" ht="13.8" hidden="false" customHeight="false" outlineLevel="0" collapsed="false">
      <c r="A44" s="0" t="s">
        <v>85</v>
      </c>
      <c r="C44" s="37" t="n">
        <f aca="false">C36</f>
        <v>0.728745829876411</v>
      </c>
      <c r="I44" s="0" t="s">
        <v>86</v>
      </c>
      <c r="J44" s="0" t="n">
        <v>70</v>
      </c>
      <c r="K44" s="0" t="n">
        <v>50</v>
      </c>
      <c r="L44" s="0" t="n">
        <v>120</v>
      </c>
    </row>
    <row r="45" customFormat="false" ht="13.8" hidden="false" customHeight="false" outlineLevel="0" collapsed="false">
      <c r="A45" s="0" t="s">
        <v>87</v>
      </c>
      <c r="C45" s="0" t="n">
        <f aca="false">A39</f>
        <v>1.51915353722583</v>
      </c>
      <c r="I45" s="0" t="s">
        <v>88</v>
      </c>
      <c r="J45" s="0" t="n">
        <v>350</v>
      </c>
      <c r="K45" s="0" t="n">
        <v>200</v>
      </c>
      <c r="L45" s="0" t="n">
        <v>600</v>
      </c>
    </row>
    <row r="46" customFormat="false" ht="13.8" hidden="false" customHeight="false" outlineLevel="0" collapsed="false">
      <c r="A46" s="0" t="s">
        <v>89</v>
      </c>
      <c r="C46" s="0" t="n">
        <f aca="false">C39</f>
        <v>6.97973710408265</v>
      </c>
    </row>
    <row r="47" customFormat="false" ht="13.8" hidden="false" customHeight="false" outlineLevel="0" collapsed="false"/>
    <row r="48" customFormat="false" ht="13.8" hidden="false" customHeight="false" outlineLevel="0" collapsed="false">
      <c r="I48" s="34" t="s">
        <v>90</v>
      </c>
      <c r="J48" s="34" t="s">
        <v>91</v>
      </c>
      <c r="K48" s="34" t="s">
        <v>92</v>
      </c>
      <c r="L48" s="34" t="s">
        <v>93</v>
      </c>
      <c r="M48" s="34"/>
      <c r="N48" s="34"/>
      <c r="O48" s="34"/>
      <c r="P48" s="34"/>
      <c r="Q48" s="34"/>
      <c r="R48" s="34"/>
    </row>
    <row r="49" customFormat="false" ht="13.8" hidden="false" customHeight="false" outlineLevel="0" collapsed="false">
      <c r="I49" s="34"/>
      <c r="J49" s="34"/>
      <c r="K49" s="34"/>
      <c r="L49" s="34" t="s">
        <v>94</v>
      </c>
      <c r="M49" s="34" t="s">
        <v>95</v>
      </c>
      <c r="N49" s="34" t="s">
        <v>96</v>
      </c>
      <c r="O49" s="34" t="s">
        <v>97</v>
      </c>
      <c r="P49" s="34" t="s">
        <v>98</v>
      </c>
      <c r="Q49" s="34" t="s">
        <v>99</v>
      </c>
      <c r="R49" s="34" t="s">
        <v>100</v>
      </c>
    </row>
    <row r="50" customFormat="false" ht="13.8" hidden="false" customHeight="false" outlineLevel="0" collapsed="false">
      <c r="I50" s="34" t="n">
        <v>1</v>
      </c>
      <c r="J50" s="34" t="s">
        <v>101</v>
      </c>
      <c r="K50" s="34" t="s">
        <v>102</v>
      </c>
      <c r="L50" s="34" t="n">
        <v>2.12</v>
      </c>
      <c r="M50" s="34" t="n">
        <v>1.66</v>
      </c>
      <c r="N50" s="34" t="n">
        <v>1.26</v>
      </c>
      <c r="O50" s="34" t="s">
        <v>103</v>
      </c>
      <c r="P50" s="34" t="s">
        <v>104</v>
      </c>
      <c r="Q50" s="34" t="s">
        <v>105</v>
      </c>
      <c r="R50" s="34" t="s">
        <v>106</v>
      </c>
    </row>
    <row r="51" customFormat="false" ht="13.8" hidden="false" customHeight="false" outlineLevel="0" collapsed="false">
      <c r="I51" s="34" t="n">
        <v>2</v>
      </c>
      <c r="J51" s="34" t="s">
        <v>107</v>
      </c>
      <c r="K51" s="34" t="s">
        <v>108</v>
      </c>
      <c r="L51" s="34" t="n">
        <v>1.59</v>
      </c>
      <c r="M51" s="34" t="n">
        <v>1.4</v>
      </c>
      <c r="N51" s="34" t="n">
        <v>1.19</v>
      </c>
      <c r="O51" s="34" t="s">
        <v>103</v>
      </c>
      <c r="P51" s="34" t="s">
        <v>109</v>
      </c>
      <c r="Q51" s="34" t="s">
        <v>110</v>
      </c>
      <c r="R51" s="34" t="s">
        <v>111</v>
      </c>
    </row>
    <row r="52" customFormat="false" ht="13.8" hidden="false" customHeight="false" outlineLevel="0" collapsed="false">
      <c r="I52" s="34" t="n">
        <v>3</v>
      </c>
      <c r="J52" s="34" t="s">
        <v>112</v>
      </c>
      <c r="K52" s="34" t="s">
        <v>113</v>
      </c>
      <c r="L52" s="34" t="n">
        <v>0.49</v>
      </c>
      <c r="M52" s="34" t="s">
        <v>114</v>
      </c>
      <c r="N52" s="34" t="s">
        <v>104</v>
      </c>
      <c r="O52" s="34" t="s">
        <v>103</v>
      </c>
      <c r="P52" s="34" t="n">
        <v>12055</v>
      </c>
      <c r="Q52" s="34" t="n">
        <v>33239</v>
      </c>
      <c r="R52" s="34" t="n">
        <v>26330</v>
      </c>
    </row>
    <row r="53" customFormat="false" ht="13.8" hidden="false" customHeight="false" outlineLevel="0" collapsed="false">
      <c r="I53" s="34" t="n">
        <v>4</v>
      </c>
      <c r="J53" s="34" t="s">
        <v>115</v>
      </c>
      <c r="K53" s="34" t="s">
        <v>116</v>
      </c>
      <c r="L53" s="34" t="s">
        <v>117</v>
      </c>
      <c r="M53" s="34" t="s">
        <v>117</v>
      </c>
      <c r="N53" s="34" t="s">
        <v>118</v>
      </c>
      <c r="O53" s="34" t="s">
        <v>103</v>
      </c>
      <c r="P53" s="34" t="n">
        <v>44743</v>
      </c>
      <c r="Q53" s="34" t="n">
        <v>42005</v>
      </c>
      <c r="R53" s="34" t="n">
        <v>45292</v>
      </c>
    </row>
    <row r="54" customFormat="false" ht="13.8" hidden="false" customHeight="false" outlineLevel="0" collapsed="false">
      <c r="I54" s="34" t="n">
        <v>5</v>
      </c>
      <c r="J54" s="34" t="s">
        <v>119</v>
      </c>
      <c r="K54" s="34" t="s">
        <v>120</v>
      </c>
      <c r="L54" s="34" t="s">
        <v>117</v>
      </c>
      <c r="M54" s="34" t="s">
        <v>117</v>
      </c>
      <c r="N54" s="34" t="s">
        <v>109</v>
      </c>
      <c r="O54" s="34" t="s">
        <v>103</v>
      </c>
      <c r="P54" s="34" t="n">
        <v>47119</v>
      </c>
      <c r="Q54" s="34" t="n">
        <v>29587</v>
      </c>
      <c r="R54" s="34" t="n">
        <v>22313</v>
      </c>
    </row>
    <row r="55" customFormat="false" ht="13.8" hidden="false" customHeight="false" outlineLevel="0" collapsed="false">
      <c r="I55" s="34" t="n">
        <v>6</v>
      </c>
      <c r="J55" s="34" t="s">
        <v>121</v>
      </c>
      <c r="K55" s="34" t="s">
        <v>122</v>
      </c>
      <c r="L55" s="34" t="n">
        <v>1.43</v>
      </c>
      <c r="M55" s="34" t="n">
        <v>1.3</v>
      </c>
      <c r="N55" s="34" t="n">
        <v>44835</v>
      </c>
      <c r="O55" s="34" t="s">
        <v>103</v>
      </c>
      <c r="P55" s="34" t="s">
        <v>109</v>
      </c>
      <c r="Q55" s="34" t="s">
        <v>123</v>
      </c>
      <c r="R55" s="34" t="s">
        <v>111</v>
      </c>
    </row>
    <row r="56" customFormat="false" ht="13.8" hidden="false" customHeight="false" outlineLevel="0" collapsed="false">
      <c r="I56" s="34" t="n">
        <v>7</v>
      </c>
      <c r="J56" s="34" t="s">
        <v>124</v>
      </c>
      <c r="K56" s="34" t="s">
        <v>125</v>
      </c>
      <c r="L56" s="34" t="s">
        <v>117</v>
      </c>
      <c r="M56" s="34" t="n">
        <v>1.43</v>
      </c>
      <c r="N56" s="34" t="n">
        <v>1.14</v>
      </c>
      <c r="O56" s="34" t="s">
        <v>103</v>
      </c>
      <c r="P56" s="34" t="s">
        <v>103</v>
      </c>
      <c r="Q56" s="34" t="s">
        <v>117</v>
      </c>
      <c r="R56" s="34" t="s">
        <v>117</v>
      </c>
    </row>
    <row r="57" customFormat="false" ht="13.8" hidden="false" customHeight="false" outlineLevel="0" collapsed="false">
      <c r="I57" s="34"/>
      <c r="J57" s="34"/>
      <c r="K57" s="34"/>
      <c r="L57" s="34"/>
      <c r="M57" s="34"/>
      <c r="N57" s="34"/>
      <c r="O57" s="34"/>
      <c r="P57" s="34"/>
      <c r="Q57" s="34"/>
      <c r="R57" s="34"/>
    </row>
    <row r="58" customFormat="false" ht="13.8" hidden="false" customHeight="false" outlineLevel="0" collapsed="false">
      <c r="I58" s="34"/>
      <c r="J58" s="34"/>
      <c r="K58" s="34"/>
      <c r="L58" s="34"/>
      <c r="M58" s="34"/>
      <c r="N58" s="34"/>
      <c r="O58" s="34"/>
      <c r="P58" s="34"/>
      <c r="Q58" s="34"/>
      <c r="R58" s="34"/>
    </row>
    <row r="59" customFormat="false" ht="13.8" hidden="false" customHeight="false" outlineLevel="0" collapsed="false">
      <c r="I59" s="38"/>
      <c r="J59" s="34" t="s">
        <v>126</v>
      </c>
      <c r="K59" s="34"/>
      <c r="L59" s="34"/>
      <c r="M59" s="34"/>
      <c r="N59" s="34"/>
      <c r="O59" s="34"/>
      <c r="P59" s="34"/>
      <c r="Q59" s="34"/>
      <c r="R59" s="34"/>
    </row>
    <row r="60" customFormat="false" ht="13.8" hidden="false" customHeight="false" outlineLevel="0" collapsed="false">
      <c r="I60" s="38"/>
      <c r="J60" s="34" t="s">
        <v>95</v>
      </c>
      <c r="K60" s="34" t="s">
        <v>96</v>
      </c>
      <c r="L60" s="34" t="s">
        <v>127</v>
      </c>
      <c r="M60" s="34" t="s">
        <v>98</v>
      </c>
      <c r="N60" s="34" t="s">
        <v>99</v>
      </c>
      <c r="O60" s="34" t="s">
        <v>128</v>
      </c>
      <c r="P60" s="34"/>
      <c r="Q60" s="34"/>
      <c r="R60" s="34"/>
    </row>
    <row r="61" customFormat="false" ht="13.8" hidden="false" customHeight="false" outlineLevel="0" collapsed="false">
      <c r="I61" s="34" t="s">
        <v>129</v>
      </c>
      <c r="J61" s="34" t="n">
        <v>6.2</v>
      </c>
      <c r="K61" s="34" t="n">
        <v>4.96</v>
      </c>
      <c r="L61" s="34" t="n">
        <v>3.72</v>
      </c>
      <c r="M61" s="34" t="n">
        <v>2.48</v>
      </c>
      <c r="N61" s="34" t="n">
        <v>45292</v>
      </c>
      <c r="O61" s="34" t="s">
        <v>130</v>
      </c>
      <c r="P61" s="34"/>
      <c r="Q61" s="34"/>
      <c r="R61" s="34"/>
    </row>
    <row r="62" customFormat="false" ht="13.8" hidden="false" customHeight="false" outlineLevel="0" collapsed="false">
      <c r="I62" s="34" t="s">
        <v>131</v>
      </c>
      <c r="J62" s="34" t="n">
        <v>44747</v>
      </c>
      <c r="K62" s="34" t="n">
        <v>44685</v>
      </c>
      <c r="L62" s="34" t="n">
        <v>44654</v>
      </c>
      <c r="M62" s="34" t="n">
        <v>44622</v>
      </c>
      <c r="N62" s="34" t="n">
        <v>44562</v>
      </c>
      <c r="O62" s="34" t="s">
        <v>130</v>
      </c>
      <c r="P62" s="34"/>
      <c r="Q62" s="34"/>
      <c r="R62" s="34"/>
    </row>
    <row r="63" customFormat="false" ht="13.8" hidden="false" customHeight="false" outlineLevel="0" collapsed="false">
      <c r="I63" s="34" t="s">
        <v>132</v>
      </c>
      <c r="J63" s="34" t="n">
        <v>44749</v>
      </c>
      <c r="K63" s="34" t="n">
        <v>23863</v>
      </c>
      <c r="L63" s="34" t="n">
        <v>45383</v>
      </c>
      <c r="M63" s="34" t="n">
        <v>30348</v>
      </c>
      <c r="N63" s="34" t="n">
        <v>14977</v>
      </c>
      <c r="O63" s="34" t="s">
        <v>130</v>
      </c>
      <c r="P63" s="34"/>
      <c r="Q63" s="34"/>
      <c r="R63" s="34"/>
    </row>
    <row r="64" customFormat="false" ht="13.8" hidden="false" customHeight="false" outlineLevel="0" collapsed="false">
      <c r="I64" s="34" t="s">
        <v>133</v>
      </c>
      <c r="J64" s="34" t="n">
        <v>17654</v>
      </c>
      <c r="K64" s="34" t="n">
        <v>13971</v>
      </c>
      <c r="L64" s="34" t="n">
        <v>47178</v>
      </c>
      <c r="M64" s="34" t="n">
        <v>43497</v>
      </c>
      <c r="N64" s="34" t="n">
        <v>44835</v>
      </c>
      <c r="O64" s="34" t="s">
        <v>130</v>
      </c>
      <c r="P64" s="34"/>
      <c r="Q64" s="34"/>
      <c r="R64" s="34"/>
    </row>
    <row r="65" customFormat="false" ht="13.8" hidden="false" customHeight="false" outlineLevel="0" collapsed="false">
      <c r="I65" s="34" t="s">
        <v>134</v>
      </c>
      <c r="J65" s="34" t="n">
        <v>29403</v>
      </c>
      <c r="K65" s="34" t="n">
        <v>45444</v>
      </c>
      <c r="L65" s="34" t="n">
        <v>24929</v>
      </c>
      <c r="M65" s="34" t="n">
        <v>44898</v>
      </c>
      <c r="N65" s="34" t="n">
        <v>20455</v>
      </c>
      <c r="O65" s="34" t="s">
        <v>130</v>
      </c>
      <c r="P65" s="34"/>
      <c r="Q65" s="34"/>
      <c r="R65" s="34"/>
    </row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>
      <c r="H68" s="0" t="s">
        <v>135</v>
      </c>
      <c r="I68" s="39" t="s">
        <v>101</v>
      </c>
      <c r="J68" s="40" t="n">
        <v>0.83</v>
      </c>
    </row>
    <row r="69" customFormat="false" ht="13.8" hidden="false" customHeight="false" outlineLevel="0" collapsed="false">
      <c r="I69" s="41" t="s">
        <v>107</v>
      </c>
      <c r="J69" s="42" t="n">
        <v>0.87</v>
      </c>
    </row>
    <row r="70" customFormat="false" ht="13.8" hidden="false" customHeight="false" outlineLevel="0" collapsed="false">
      <c r="I70" s="41" t="s">
        <v>112</v>
      </c>
      <c r="J70" s="42" t="n">
        <v>1.71</v>
      </c>
    </row>
    <row r="71" customFormat="false" ht="13.8" hidden="false" customHeight="false" outlineLevel="0" collapsed="false">
      <c r="I71" s="41" t="s">
        <v>115</v>
      </c>
      <c r="J71" s="42" t="n">
        <v>1.72</v>
      </c>
      <c r="L71" s="43" t="s">
        <v>136</v>
      </c>
      <c r="M71" s="43" t="s">
        <v>137</v>
      </c>
    </row>
    <row r="72" customFormat="false" ht="13.8" hidden="false" customHeight="false" outlineLevel="0" collapsed="false">
      <c r="I72" s="41" t="s">
        <v>119</v>
      </c>
      <c r="J72" s="42" t="n">
        <v>1</v>
      </c>
      <c r="K72" s="44" t="s">
        <v>138</v>
      </c>
      <c r="L72" s="0" t="n">
        <f aca="false">2.94*3000*POWER(PRODUCT(J68:J74),L74)</f>
        <v>15802.447423938</v>
      </c>
      <c r="M72" s="0" t="n">
        <f aca="false">L72/(24*8)</f>
        <v>82.3044136663435</v>
      </c>
      <c r="N72" s="0" t="s">
        <v>139</v>
      </c>
    </row>
    <row r="73" customFormat="false" ht="13.8" hidden="false" customHeight="false" outlineLevel="0" collapsed="false">
      <c r="I73" s="41" t="s">
        <v>121</v>
      </c>
      <c r="J73" s="42" t="n">
        <v>0.87</v>
      </c>
    </row>
    <row r="74" customFormat="false" ht="13.8" hidden="false" customHeight="false" outlineLevel="0" collapsed="false">
      <c r="I74" s="45" t="s">
        <v>124</v>
      </c>
      <c r="J74" s="46" t="n">
        <v>1</v>
      </c>
      <c r="K74" s="44" t="s">
        <v>140</v>
      </c>
      <c r="L74" s="0" t="n">
        <f aca="false">0.91+0.01*SUM(J75:J79)</f>
        <v>0.9498</v>
      </c>
    </row>
    <row r="75" customFormat="false" ht="13.8" hidden="false" customHeight="false" outlineLevel="0" collapsed="false">
      <c r="H75" s="0" t="s">
        <v>141</v>
      </c>
      <c r="I75" s="39" t="s">
        <v>129</v>
      </c>
      <c r="J75" s="40" t="n">
        <v>0</v>
      </c>
    </row>
    <row r="76" customFormat="false" ht="13.8" hidden="false" customHeight="false" outlineLevel="0" collapsed="false">
      <c r="I76" s="41" t="s">
        <v>131</v>
      </c>
      <c r="J76" s="42" t="n">
        <v>1.01</v>
      </c>
    </row>
    <row r="77" customFormat="false" ht="13.8" hidden="false" customHeight="false" outlineLevel="0" collapsed="false">
      <c r="I77" s="41" t="s">
        <v>132</v>
      </c>
      <c r="J77" s="42" t="n">
        <v>1.41</v>
      </c>
    </row>
    <row r="78" customFormat="false" ht="13.8" hidden="false" customHeight="false" outlineLevel="0" collapsed="false">
      <c r="I78" s="41" t="s">
        <v>133</v>
      </c>
      <c r="J78" s="42" t="n">
        <v>0</v>
      </c>
    </row>
    <row r="79" customFormat="false" ht="13.8" hidden="false" customHeight="false" outlineLevel="0" collapsed="false">
      <c r="I79" s="45" t="s">
        <v>134</v>
      </c>
      <c r="J79" s="46" t="n">
        <v>1.56</v>
      </c>
    </row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>
      <c r="C91" s="0" t="n">
        <v>41667</v>
      </c>
    </row>
    <row r="92" customFormat="false" ht="13.8" hidden="false" customHeight="false" outlineLevel="0" collapsed="false">
      <c r="A92" s="0" t="s">
        <v>142</v>
      </c>
      <c r="B92" s="0" t="s">
        <v>143</v>
      </c>
      <c r="C92" s="0" t="s">
        <v>144</v>
      </c>
    </row>
    <row r="93" customFormat="false" ht="13.8" hidden="false" customHeight="false" outlineLevel="0" collapsed="false">
      <c r="A93" s="0" t="n">
        <v>0</v>
      </c>
      <c r="B93" s="0" t="n">
        <f aca="false">420000</f>
        <v>420000</v>
      </c>
      <c r="C93" s="0" t="n">
        <v>1000000</v>
      </c>
    </row>
    <row r="94" customFormat="false" ht="13.8" hidden="false" customHeight="false" outlineLevel="0" collapsed="false">
      <c r="A94" s="0" t="n">
        <v>1</v>
      </c>
      <c r="B94" s="0" t="n">
        <f aca="false">B93-$C$91</f>
        <v>378333</v>
      </c>
      <c r="C94" s="0" t="n">
        <f aca="false">C93-$C$91</f>
        <v>958333</v>
      </c>
    </row>
    <row r="95" customFormat="false" ht="13.8" hidden="false" customHeight="false" outlineLevel="0" collapsed="false">
      <c r="A95" s="0" t="n">
        <v>2</v>
      </c>
      <c r="B95" s="0" t="n">
        <f aca="false">B94-$C$91</f>
        <v>336666</v>
      </c>
      <c r="C95" s="0" t="n">
        <f aca="false">C94-$C$91</f>
        <v>916666</v>
      </c>
    </row>
    <row r="96" customFormat="false" ht="13.8" hidden="false" customHeight="false" outlineLevel="0" collapsed="false">
      <c r="A96" s="0" t="n">
        <v>3</v>
      </c>
      <c r="B96" s="0" t="n">
        <f aca="false">B95-$C$91</f>
        <v>294999</v>
      </c>
      <c r="C96" s="0" t="n">
        <f aca="false">C95-$C$91</f>
        <v>874999</v>
      </c>
    </row>
    <row r="97" customFormat="false" ht="13.8" hidden="false" customHeight="false" outlineLevel="0" collapsed="false">
      <c r="A97" s="0" t="n">
        <v>4</v>
      </c>
      <c r="B97" s="0" t="n">
        <f aca="false">B96-$C$91</f>
        <v>253332</v>
      </c>
      <c r="C97" s="0" t="n">
        <f aca="false">C96-$C$91</f>
        <v>833332</v>
      </c>
    </row>
    <row r="98" customFormat="false" ht="13.8" hidden="false" customHeight="false" outlineLevel="0" collapsed="false">
      <c r="A98" s="0" t="n">
        <v>5</v>
      </c>
      <c r="B98" s="0" t="n">
        <f aca="false">B97-$C$91</f>
        <v>211665</v>
      </c>
      <c r="C98" s="0" t="n">
        <f aca="false">C97-$C$91</f>
        <v>791665</v>
      </c>
    </row>
    <row r="99" customFormat="false" ht="13.8" hidden="false" customHeight="false" outlineLevel="0" collapsed="false">
      <c r="A99" s="0" t="n">
        <v>6</v>
      </c>
      <c r="B99" s="0" t="n">
        <f aca="false">B98-$C$91+B8</f>
        <v>216123</v>
      </c>
      <c r="C99" s="0" t="n">
        <f aca="false">C98-$C$91</f>
        <v>749998</v>
      </c>
    </row>
    <row r="100" customFormat="false" ht="13.8" hidden="false" customHeight="false" outlineLevel="0" collapsed="false">
      <c r="A100" s="0" t="n">
        <v>7</v>
      </c>
      <c r="B100" s="0" t="n">
        <f aca="false">B99-$C$91+B9</f>
        <v>1159456</v>
      </c>
      <c r="C100" s="0" t="n">
        <f aca="false">C99-$C$91</f>
        <v>708331</v>
      </c>
    </row>
    <row r="101" customFormat="false" ht="13.8" hidden="false" customHeight="false" outlineLevel="0" collapsed="false">
      <c r="A101" s="0" t="n">
        <v>8</v>
      </c>
      <c r="B101" s="0" t="n">
        <f aca="false">B100-$C$91+B10</f>
        <v>3625289</v>
      </c>
      <c r="C101" s="0" t="n">
        <f aca="false">C100-$C$91</f>
        <v>666664</v>
      </c>
    </row>
    <row r="102" customFormat="false" ht="13.8" hidden="false" customHeight="false" outlineLevel="0" collapsed="false">
      <c r="A102" s="0" t="n">
        <v>9</v>
      </c>
      <c r="B102" s="0" t="n">
        <f aca="false">B101-$C$91+B11</f>
        <v>6598622</v>
      </c>
      <c r="C102" s="0" t="n">
        <f aca="false">C101-$C$91</f>
        <v>624997</v>
      </c>
    </row>
    <row r="103" customFormat="false" ht="13.8" hidden="false" customHeight="false" outlineLevel="0" collapsed="false">
      <c r="A103" s="0" t="n">
        <v>10</v>
      </c>
      <c r="B103" s="0" t="n">
        <f aca="false">B102-$C$91+B12</f>
        <v>9318205</v>
      </c>
      <c r="C103" s="0" t="n">
        <f aca="false">C102-$C$91</f>
        <v>583330</v>
      </c>
    </row>
    <row r="104" customFormat="false" ht="13.8" hidden="false" customHeight="false" outlineLevel="0" collapsed="false">
      <c r="A104" s="0" t="n">
        <v>11</v>
      </c>
      <c r="B104" s="0" t="n">
        <f aca="false">B103-$C$91+B13</f>
        <v>12342288</v>
      </c>
      <c r="C104" s="0" t="n">
        <f aca="false">C103-$C$91</f>
        <v>541663</v>
      </c>
    </row>
    <row r="105" customFormat="false" ht="13.8" hidden="false" customHeight="false" outlineLevel="0" collapsed="false">
      <c r="A105" s="0" t="n">
        <v>12</v>
      </c>
      <c r="B105" s="0" t="n">
        <f aca="false">B104-$C$91+B14</f>
        <v>15214121</v>
      </c>
      <c r="C105" s="0" t="n">
        <f aca="false">C104-$C$91</f>
        <v>499996</v>
      </c>
    </row>
    <row r="106" customFormat="false" ht="13.8" hidden="false" customHeight="false" outlineLevel="0" collapsed="false">
      <c r="A106" s="0" t="n">
        <v>13</v>
      </c>
      <c r="B106" s="0" t="n">
        <f aca="false">B105-$C$91+B15</f>
        <v>18035204</v>
      </c>
      <c r="C106" s="0" t="n">
        <f aca="false">C105-$C$91</f>
        <v>458329</v>
      </c>
    </row>
    <row r="107" customFormat="false" ht="13.8" hidden="false" customHeight="false" outlineLevel="0" collapsed="false">
      <c r="A107" s="0" t="n">
        <v>14</v>
      </c>
      <c r="B107" s="0" t="n">
        <f aca="false">B106-$C$91+B16</f>
        <v>19414537</v>
      </c>
      <c r="C107" s="0" t="n">
        <f aca="false">C106-$C$91</f>
        <v>416662</v>
      </c>
    </row>
    <row r="108" customFormat="false" ht="13.8" hidden="false" customHeight="false" outlineLevel="0" collapsed="false">
      <c r="A108" s="0" t="n">
        <v>15</v>
      </c>
      <c r="B108" s="0" t="n">
        <f aca="false">B107-$C$91+B17</f>
        <v>20540120</v>
      </c>
      <c r="C108" s="0" t="n">
        <f aca="false">C107-$C$91</f>
        <v>374995</v>
      </c>
    </row>
    <row r="109" customFormat="false" ht="13.8" hidden="false" customHeight="false" outlineLevel="0" collapsed="false">
      <c r="A109" s="0" t="n">
        <v>16</v>
      </c>
      <c r="B109" s="0" t="n">
        <f aca="false">B108-$C$91+B18</f>
        <v>22802953</v>
      </c>
      <c r="C109" s="0" t="n">
        <f aca="false">C108-$C$91</f>
        <v>333328</v>
      </c>
    </row>
    <row r="110" customFormat="false" ht="13.8" hidden="false" customHeight="false" outlineLevel="0" collapsed="false">
      <c r="A110" s="0" t="n">
        <v>17</v>
      </c>
      <c r="B110" s="0" t="n">
        <f aca="false">B109-$C$91+B19</f>
        <v>25319536</v>
      </c>
      <c r="C110" s="0" t="n">
        <f aca="false">C109-$C$91</f>
        <v>291661</v>
      </c>
    </row>
    <row r="111" customFormat="false" ht="13.8" hidden="false" customHeight="false" outlineLevel="0" collapsed="false">
      <c r="A111" s="0" t="n">
        <v>18</v>
      </c>
      <c r="B111" s="0" t="n">
        <f aca="false">B110-$C$91+B20</f>
        <v>28292869</v>
      </c>
      <c r="C111" s="0" t="n">
        <f aca="false">C110-$C$91</f>
        <v>249994</v>
      </c>
    </row>
    <row r="112" customFormat="false" ht="13.8" hidden="false" customHeight="false" outlineLevel="0" collapsed="false">
      <c r="A112" s="0" t="n">
        <v>19</v>
      </c>
      <c r="B112" s="0" t="n">
        <f aca="false">B111-$C$91+B21</f>
        <v>31266202</v>
      </c>
      <c r="C112" s="0" t="n">
        <f aca="false">C111-$C$91</f>
        <v>208327</v>
      </c>
    </row>
    <row r="113" customFormat="false" ht="13.8" hidden="false" customHeight="false" outlineLevel="0" collapsed="false">
      <c r="A113" s="0" t="n">
        <v>20</v>
      </c>
      <c r="B113" s="0" t="n">
        <f aca="false">B112-$C$91+B22</f>
        <v>33985785</v>
      </c>
      <c r="C113" s="0" t="n">
        <f aca="false">C112-$C$91</f>
        <v>166660</v>
      </c>
    </row>
    <row r="114" customFormat="false" ht="13.8" hidden="false" customHeight="false" outlineLevel="0" collapsed="false">
      <c r="A114" s="0" t="n">
        <v>21</v>
      </c>
      <c r="B114" s="0" t="n">
        <f aca="false">B113-$C$91+B23</f>
        <v>37009868</v>
      </c>
      <c r="C114" s="0" t="n">
        <f aca="false">C113-$C$91</f>
        <v>124993</v>
      </c>
    </row>
    <row r="115" customFormat="false" ht="13.8" hidden="false" customHeight="false" outlineLevel="0" collapsed="false">
      <c r="A115" s="0" t="n">
        <v>22</v>
      </c>
      <c r="B115" s="0" t="n">
        <f aca="false">B114-$C$91+B24</f>
        <v>39272701</v>
      </c>
      <c r="C115" s="0" t="n">
        <f aca="false">C114-$C$91</f>
        <v>83326</v>
      </c>
    </row>
    <row r="116" customFormat="false" ht="13.8" hidden="false" customHeight="false" outlineLevel="0" collapsed="false">
      <c r="A116" s="0" t="n">
        <v>23</v>
      </c>
      <c r="B116" s="0" t="n">
        <f aca="false">B115-$C$91+B25</f>
        <v>41789284</v>
      </c>
      <c r="C116" s="0" t="n">
        <f aca="false">C115-$C$91</f>
        <v>41659</v>
      </c>
    </row>
    <row r="117" customFormat="false" ht="13.8" hidden="false" customHeight="false" outlineLevel="0" collapsed="false">
      <c r="A117" s="0" t="n">
        <v>24</v>
      </c>
      <c r="B117" s="0" t="n">
        <f aca="false">B116-$C$91+B26</f>
        <v>44762617</v>
      </c>
      <c r="C117" s="0" t="n">
        <f aca="false">0</f>
        <v>0</v>
      </c>
    </row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</sheetData>
  <mergeCells count="2">
    <mergeCell ref="I59:I60"/>
    <mergeCell ref="J59:O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2022-04-22T18:15:11Z</dcterms:created>
  <dc:creator>АUХ</dc:creator>
  <dc:description/>
  <dc:language>en-US</dc:language>
  <cp:lastModifiedBy/>
  <dcterms:modified xsi:type="dcterms:W3CDTF">2022-04-30T23:59:44Z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