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esktop\6_Semester\Экономика\"/>
    </mc:Choice>
  </mc:AlternateContent>
  <xr:revisionPtr revIDLastSave="0" documentId="13_ncr:1_{4994D741-FF32-4C1E-AB79-ED72AFBAB8EC}" xr6:coauthVersionLast="47" xr6:coauthVersionMax="47" xr10:uidLastSave="{00000000-0000-0000-0000-000000000000}"/>
  <bookViews>
    <workbookView xWindow="-103" yWindow="-103" windowWidth="22149" windowHeight="13200" tabRatio="500" xr2:uid="{00000000-000D-0000-FFFF-FFFF00000000}"/>
  </bookViews>
  <sheets>
    <sheet name="Sheet1" sheetId="1" r:id="rId1"/>
  </sheets>
  <calcPr calcId="18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3" i="1" l="1"/>
  <c r="B20" i="1"/>
  <c r="B18" i="1"/>
  <c r="J163" i="1"/>
  <c r="B161" i="1"/>
  <c r="K162" i="1"/>
  <c r="J161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59" i="1"/>
  <c r="K159" i="1"/>
  <c r="J159" i="1"/>
  <c r="K160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2" i="1"/>
  <c r="K161" i="1"/>
  <c r="J160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Q83" i="1"/>
  <c r="H83" i="1"/>
  <c r="Q82" i="1"/>
  <c r="H82" i="1"/>
  <c r="Q81" i="1"/>
  <c r="H81" i="1"/>
  <c r="Q80" i="1"/>
  <c r="H80" i="1"/>
  <c r="Q79" i="1"/>
  <c r="H79" i="1"/>
  <c r="Q78" i="1"/>
  <c r="H78" i="1"/>
  <c r="Q77" i="1"/>
  <c r="H77" i="1"/>
  <c r="Q76" i="1"/>
  <c r="H76" i="1"/>
  <c r="Q75" i="1"/>
  <c r="H75" i="1"/>
  <c r="Q74" i="1"/>
  <c r="H74" i="1"/>
  <c r="Q73" i="1"/>
  <c r="H73" i="1"/>
  <c r="Q72" i="1"/>
  <c r="H72" i="1"/>
  <c r="Q71" i="1"/>
  <c r="H71" i="1"/>
  <c r="Q70" i="1"/>
  <c r="H70" i="1"/>
  <c r="Q69" i="1"/>
  <c r="H69" i="1"/>
  <c r="Q68" i="1"/>
  <c r="H68" i="1"/>
  <c r="Q67" i="1"/>
  <c r="H67" i="1"/>
  <c r="Q66" i="1"/>
  <c r="H66" i="1"/>
  <c r="Q65" i="1"/>
  <c r="H65" i="1"/>
  <c r="Q64" i="1"/>
  <c r="H64" i="1"/>
  <c r="Q63" i="1"/>
  <c r="H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B33" i="1"/>
  <c r="Q32" i="1"/>
  <c r="B32" i="1"/>
  <c r="Q31" i="1"/>
  <c r="Q30" i="1"/>
  <c r="M30" i="1"/>
  <c r="Q29" i="1"/>
  <c r="Q28" i="1"/>
  <c r="Q27" i="1"/>
  <c r="Q26" i="1"/>
  <c r="Q25" i="1"/>
  <c r="Q24" i="1"/>
  <c r="Q23" i="1"/>
  <c r="Q22" i="1"/>
  <c r="Q21" i="1"/>
  <c r="B21" i="1"/>
  <c r="Q20" i="1"/>
  <c r="Q19" i="1"/>
  <c r="Q18" i="1"/>
  <c r="Q17" i="1"/>
  <c r="Q16" i="1"/>
  <c r="Q15" i="1"/>
  <c r="Q14" i="1"/>
  <c r="Q13" i="1"/>
  <c r="B13" i="1"/>
  <c r="Q12" i="1"/>
  <c r="Q11" i="1"/>
  <c r="Q10" i="1"/>
  <c r="Q9" i="1"/>
  <c r="Q8" i="1"/>
  <c r="Q7" i="1"/>
  <c r="Q6" i="1"/>
  <c r="Q5" i="1"/>
  <c r="G4" i="1" s="1"/>
  <c r="Q4" i="1"/>
  <c r="Q3" i="1"/>
  <c r="N3" i="1"/>
  <c r="F5" i="1" s="1"/>
  <c r="G3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G2" i="1"/>
  <c r="B160" i="1" l="1"/>
  <c r="B159" i="1" s="1"/>
  <c r="C159" i="1"/>
  <c r="D159" i="1" s="1"/>
  <c r="E159" i="1" s="1"/>
  <c r="C63" i="1"/>
  <c r="B19" i="1"/>
  <c r="F25" i="1"/>
  <c r="F19" i="1"/>
  <c r="F29" i="1"/>
  <c r="I119" i="1"/>
  <c r="I115" i="1"/>
  <c r="I111" i="1"/>
  <c r="I107" i="1"/>
  <c r="I103" i="1"/>
  <c r="I99" i="1"/>
  <c r="I95" i="1"/>
  <c r="I91" i="1"/>
  <c r="I87" i="1"/>
  <c r="I82" i="1"/>
  <c r="I74" i="1"/>
  <c r="I66" i="1"/>
  <c r="F23" i="1"/>
  <c r="F16" i="1"/>
  <c r="F3" i="1"/>
  <c r="I83" i="1"/>
  <c r="I75" i="1"/>
  <c r="I67" i="1"/>
  <c r="F58" i="1"/>
  <c r="F54" i="1"/>
  <c r="F50" i="1"/>
  <c r="F46" i="1"/>
  <c r="F42" i="1"/>
  <c r="F38" i="1"/>
  <c r="F34" i="1"/>
  <c r="F28" i="1"/>
  <c r="F24" i="1"/>
  <c r="F12" i="1"/>
  <c r="F8" i="1"/>
  <c r="F4" i="1"/>
  <c r="I120" i="1"/>
  <c r="I116" i="1"/>
  <c r="I112" i="1"/>
  <c r="I108" i="1"/>
  <c r="I104" i="1"/>
  <c r="I100" i="1"/>
  <c r="I96" i="1"/>
  <c r="I92" i="1"/>
  <c r="I88" i="1"/>
  <c r="I84" i="1"/>
  <c r="I76" i="1"/>
  <c r="I68" i="1"/>
  <c r="F17" i="1"/>
  <c r="F13" i="1"/>
  <c r="F59" i="1"/>
  <c r="F55" i="1"/>
  <c r="F51" i="1"/>
  <c r="F43" i="1"/>
  <c r="F39" i="1"/>
  <c r="I77" i="1"/>
  <c r="I69" i="1"/>
  <c r="I121" i="1"/>
  <c r="I117" i="1"/>
  <c r="I113" i="1"/>
  <c r="I109" i="1"/>
  <c r="I105" i="1"/>
  <c r="I101" i="1"/>
  <c r="I97" i="1"/>
  <c r="I93" i="1"/>
  <c r="I89" i="1"/>
  <c r="I85" i="1"/>
  <c r="I78" i="1"/>
  <c r="I70" i="1"/>
  <c r="F20" i="1"/>
  <c r="F14" i="1"/>
  <c r="F6" i="1"/>
  <c r="I79" i="1"/>
  <c r="I71" i="1"/>
  <c r="I63" i="1"/>
  <c r="F60" i="1"/>
  <c r="F56" i="1"/>
  <c r="F52" i="1"/>
  <c r="F48" i="1"/>
  <c r="F44" i="1"/>
  <c r="F40" i="1"/>
  <c r="F36" i="1"/>
  <c r="F31" i="1"/>
  <c r="F30" i="1"/>
  <c r="F26" i="1"/>
  <c r="F21" i="1"/>
  <c r="F10" i="1"/>
  <c r="F2" i="1"/>
  <c r="H2" i="1" s="1"/>
  <c r="I2" i="1" s="1"/>
  <c r="F7" i="1"/>
  <c r="I122" i="1"/>
  <c r="I118" i="1"/>
  <c r="I114" i="1"/>
  <c r="I110" i="1"/>
  <c r="I106" i="1"/>
  <c r="I102" i="1"/>
  <c r="I98" i="1"/>
  <c r="I94" i="1"/>
  <c r="I90" i="1"/>
  <c r="I86" i="1"/>
  <c r="I80" i="1"/>
  <c r="I72" i="1"/>
  <c r="I64" i="1"/>
  <c r="F32" i="1"/>
  <c r="N18" i="1"/>
  <c r="N23" i="1" s="1"/>
  <c r="F15" i="1"/>
  <c r="F11" i="1"/>
  <c r="I81" i="1"/>
  <c r="I73" i="1"/>
  <c r="I65" i="1"/>
  <c r="F61" i="1"/>
  <c r="F57" i="1"/>
  <c r="F53" i="1"/>
  <c r="F49" i="1"/>
  <c r="F45" i="1"/>
  <c r="F41" i="1"/>
  <c r="F37" i="1"/>
  <c r="F33" i="1"/>
  <c r="F27" i="1"/>
  <c r="F22" i="1"/>
  <c r="F18" i="1"/>
  <c r="H3" i="1"/>
  <c r="G5" i="1"/>
  <c r="H4" i="1"/>
  <c r="I4" i="1" s="1"/>
  <c r="F9" i="1"/>
  <c r="F35" i="1"/>
  <c r="F47" i="1"/>
  <c r="N30" i="1"/>
  <c r="H5" i="1" l="1"/>
  <c r="I5" i="1" s="1"/>
  <c r="G6" i="1"/>
  <c r="I3" i="1"/>
  <c r="C64" i="1"/>
  <c r="C65" i="1"/>
  <c r="C66" i="1"/>
  <c r="C67" i="1"/>
  <c r="G63" i="1"/>
  <c r="K63" i="1" l="1"/>
  <c r="G64" i="1" s="1"/>
  <c r="J63" i="1"/>
  <c r="G7" i="1"/>
  <c r="H6" i="1"/>
  <c r="I6" i="1" l="1"/>
  <c r="C68" i="1"/>
  <c r="H7" i="1"/>
  <c r="G8" i="1"/>
  <c r="J64" i="1"/>
  <c r="K64" i="1" s="1"/>
  <c r="G65" i="1" s="1"/>
  <c r="J65" i="1" l="1"/>
  <c r="K65" i="1" s="1"/>
  <c r="G66" i="1" s="1"/>
  <c r="G9" i="1"/>
  <c r="H8" i="1"/>
  <c r="I7" i="1"/>
  <c r="C69" i="1"/>
  <c r="J66" i="1" l="1"/>
  <c r="K66" i="1" s="1"/>
  <c r="G67" i="1" s="1"/>
  <c r="I8" i="1"/>
  <c r="C70" i="1"/>
  <c r="H9" i="1"/>
  <c r="G10" i="1"/>
  <c r="J67" i="1" l="1"/>
  <c r="K67" i="1"/>
  <c r="G68" i="1" s="1"/>
  <c r="G11" i="1"/>
  <c r="H10" i="1"/>
  <c r="I9" i="1"/>
  <c r="C71" i="1"/>
  <c r="I10" i="1" l="1"/>
  <c r="C72" i="1"/>
  <c r="H11" i="1"/>
  <c r="G12" i="1"/>
  <c r="J68" i="1"/>
  <c r="K68" i="1" s="1"/>
  <c r="G69" i="1" s="1"/>
  <c r="J69" i="1" l="1"/>
  <c r="K69" i="1" s="1"/>
  <c r="G70" i="1" s="1"/>
  <c r="H12" i="1"/>
  <c r="G13" i="1"/>
  <c r="I11" i="1"/>
  <c r="C73" i="1"/>
  <c r="J70" i="1" l="1"/>
  <c r="K70" i="1" s="1"/>
  <c r="G71" i="1" s="1"/>
  <c r="H13" i="1"/>
  <c r="G14" i="1"/>
  <c r="I12" i="1"/>
  <c r="C74" i="1"/>
  <c r="J71" i="1" l="1"/>
  <c r="K71" i="1" s="1"/>
  <c r="G72" i="1" s="1"/>
  <c r="H14" i="1"/>
  <c r="G15" i="1"/>
  <c r="I13" i="1"/>
  <c r="C75" i="1"/>
  <c r="J72" i="1" l="1"/>
  <c r="K72" i="1" s="1"/>
  <c r="G73" i="1" s="1"/>
  <c r="H15" i="1"/>
  <c r="G16" i="1"/>
  <c r="I14" i="1"/>
  <c r="C76" i="1"/>
  <c r="J73" i="1" l="1"/>
  <c r="K73" i="1" s="1"/>
  <c r="G74" i="1" s="1"/>
  <c r="G17" i="1"/>
  <c r="H16" i="1"/>
  <c r="I15" i="1"/>
  <c r="C77" i="1"/>
  <c r="J74" i="1" l="1"/>
  <c r="K74" i="1" s="1"/>
  <c r="G75" i="1" s="1"/>
  <c r="I16" i="1"/>
  <c r="C78" i="1"/>
  <c r="H17" i="1"/>
  <c r="G18" i="1"/>
  <c r="J75" i="1" l="1"/>
  <c r="K75" i="1"/>
  <c r="G76" i="1" s="1"/>
  <c r="I17" i="1"/>
  <c r="C79" i="1"/>
  <c r="H18" i="1"/>
  <c r="G19" i="1"/>
  <c r="H19" i="1" l="1"/>
  <c r="G20" i="1"/>
  <c r="I18" i="1"/>
  <c r="C80" i="1"/>
  <c r="J76" i="1"/>
  <c r="K76" i="1" s="1"/>
  <c r="G77" i="1" s="1"/>
  <c r="J77" i="1" l="1"/>
  <c r="K77" i="1" s="1"/>
  <c r="G78" i="1" s="1"/>
  <c r="H20" i="1"/>
  <c r="G21" i="1"/>
  <c r="I19" i="1"/>
  <c r="C81" i="1"/>
  <c r="J78" i="1" l="1"/>
  <c r="K78" i="1" s="1"/>
  <c r="G79" i="1" s="1"/>
  <c r="H21" i="1"/>
  <c r="G22" i="1"/>
  <c r="I20" i="1"/>
  <c r="C82" i="1"/>
  <c r="J79" i="1" l="1"/>
  <c r="K79" i="1" s="1"/>
  <c r="G80" i="1" s="1"/>
  <c r="I21" i="1"/>
  <c r="C83" i="1"/>
  <c r="H22" i="1"/>
  <c r="G23" i="1"/>
  <c r="J80" i="1" l="1"/>
  <c r="K80" i="1" s="1"/>
  <c r="G81" i="1" s="1"/>
  <c r="G24" i="1"/>
  <c r="H23" i="1"/>
  <c r="I22" i="1"/>
  <c r="C84" i="1"/>
  <c r="J81" i="1" l="1"/>
  <c r="K81" i="1" s="1"/>
  <c r="G82" i="1" s="1"/>
  <c r="I23" i="1"/>
  <c r="C85" i="1"/>
  <c r="G25" i="1"/>
  <c r="H24" i="1"/>
  <c r="J82" i="1" l="1"/>
  <c r="K82" i="1" s="1"/>
  <c r="G83" i="1" s="1"/>
  <c r="I24" i="1"/>
  <c r="C86" i="1"/>
  <c r="H25" i="1"/>
  <c r="G26" i="1"/>
  <c r="J83" i="1" l="1"/>
  <c r="K83" i="1"/>
  <c r="G84" i="1" s="1"/>
  <c r="I25" i="1"/>
  <c r="C87" i="1"/>
  <c r="H26" i="1"/>
  <c r="G27" i="1"/>
  <c r="I26" i="1" l="1"/>
  <c r="C88" i="1"/>
  <c r="G28" i="1"/>
  <c r="H27" i="1"/>
  <c r="J84" i="1"/>
  <c r="K84" i="1" s="1"/>
  <c r="G85" i="1" s="1"/>
  <c r="J85" i="1" l="1"/>
  <c r="K85" i="1" s="1"/>
  <c r="G86" i="1" s="1"/>
  <c r="G29" i="1"/>
  <c r="H28" i="1"/>
  <c r="I27" i="1"/>
  <c r="C89" i="1"/>
  <c r="J86" i="1" l="1"/>
  <c r="K86" i="1" s="1"/>
  <c r="G87" i="1" s="1"/>
  <c r="H29" i="1"/>
  <c r="G30" i="1"/>
  <c r="I28" i="1"/>
  <c r="C90" i="1"/>
  <c r="J87" i="1" l="1"/>
  <c r="K87" i="1" s="1"/>
  <c r="G88" i="1" s="1"/>
  <c r="H30" i="1"/>
  <c r="G31" i="1"/>
  <c r="I29" i="1"/>
  <c r="C91" i="1"/>
  <c r="J88" i="1" l="1"/>
  <c r="K88" i="1" s="1"/>
  <c r="G89" i="1" s="1"/>
  <c r="G32" i="1"/>
  <c r="H31" i="1"/>
  <c r="I30" i="1"/>
  <c r="C92" i="1"/>
  <c r="K89" i="1" l="1"/>
  <c r="G90" i="1" s="1"/>
  <c r="J89" i="1"/>
  <c r="I31" i="1"/>
  <c r="C93" i="1"/>
  <c r="H32" i="1"/>
  <c r="G33" i="1"/>
  <c r="G34" i="1" l="1"/>
  <c r="H33" i="1"/>
  <c r="I32" i="1"/>
  <c r="C94" i="1"/>
  <c r="J90" i="1"/>
  <c r="K90" i="1" s="1"/>
  <c r="G91" i="1" s="1"/>
  <c r="J91" i="1" l="1"/>
  <c r="K91" i="1" s="1"/>
  <c r="G92" i="1" s="1"/>
  <c r="I33" i="1"/>
  <c r="C95" i="1"/>
  <c r="H34" i="1"/>
  <c r="G35" i="1"/>
  <c r="K92" i="1" l="1"/>
  <c r="G93" i="1" s="1"/>
  <c r="J92" i="1"/>
  <c r="H35" i="1"/>
  <c r="G36" i="1"/>
  <c r="I34" i="1"/>
  <c r="C96" i="1"/>
  <c r="H36" i="1" l="1"/>
  <c r="G37" i="1"/>
  <c r="I35" i="1"/>
  <c r="C97" i="1"/>
  <c r="J93" i="1"/>
  <c r="K93" i="1" s="1"/>
  <c r="G94" i="1" s="1"/>
  <c r="K94" i="1" l="1"/>
  <c r="G95" i="1" s="1"/>
  <c r="J94" i="1"/>
  <c r="G38" i="1"/>
  <c r="H37" i="1"/>
  <c r="I36" i="1"/>
  <c r="C98" i="1"/>
  <c r="H38" i="1" l="1"/>
  <c r="G39" i="1"/>
  <c r="J95" i="1"/>
  <c r="K95" i="1" s="1"/>
  <c r="G96" i="1" s="1"/>
  <c r="I37" i="1"/>
  <c r="C99" i="1"/>
  <c r="J96" i="1" l="1"/>
  <c r="K96" i="1" s="1"/>
  <c r="G97" i="1" s="1"/>
  <c r="H39" i="1"/>
  <c r="G40" i="1"/>
  <c r="I38" i="1"/>
  <c r="C100" i="1"/>
  <c r="J97" i="1" l="1"/>
  <c r="K97" i="1" s="1"/>
  <c r="G98" i="1" s="1"/>
  <c r="H40" i="1"/>
  <c r="G41" i="1"/>
  <c r="I39" i="1"/>
  <c r="C101" i="1"/>
  <c r="J98" i="1" l="1"/>
  <c r="K98" i="1" s="1"/>
  <c r="G99" i="1" s="1"/>
  <c r="G42" i="1"/>
  <c r="H41" i="1"/>
  <c r="I40" i="1"/>
  <c r="C102" i="1"/>
  <c r="J99" i="1" l="1"/>
  <c r="K99" i="1" s="1"/>
  <c r="G100" i="1" s="1"/>
  <c r="I41" i="1"/>
  <c r="C103" i="1"/>
  <c r="H42" i="1"/>
  <c r="G43" i="1"/>
  <c r="J100" i="1" l="1"/>
  <c r="K100" i="1" s="1"/>
  <c r="G101" i="1" s="1"/>
  <c r="I42" i="1"/>
  <c r="C104" i="1"/>
  <c r="H43" i="1"/>
  <c r="G44" i="1"/>
  <c r="J101" i="1" l="1"/>
  <c r="K101" i="1" s="1"/>
  <c r="G102" i="1" s="1"/>
  <c r="H44" i="1"/>
  <c r="G45" i="1"/>
  <c r="I43" i="1"/>
  <c r="C105" i="1"/>
  <c r="K102" i="1" l="1"/>
  <c r="G103" i="1" s="1"/>
  <c r="J102" i="1"/>
  <c r="G46" i="1"/>
  <c r="H45" i="1"/>
  <c r="I44" i="1"/>
  <c r="C106" i="1"/>
  <c r="H46" i="1" l="1"/>
  <c r="G47" i="1"/>
  <c r="J103" i="1"/>
  <c r="K103" i="1" s="1"/>
  <c r="G104" i="1" s="1"/>
  <c r="I45" i="1"/>
  <c r="C107" i="1"/>
  <c r="J104" i="1" l="1"/>
  <c r="K104" i="1" s="1"/>
  <c r="G105" i="1" s="1"/>
  <c r="H47" i="1"/>
  <c r="G48" i="1"/>
  <c r="I46" i="1"/>
  <c r="C108" i="1"/>
  <c r="J105" i="1" l="1"/>
  <c r="K105" i="1" s="1"/>
  <c r="G106" i="1" s="1"/>
  <c r="H48" i="1"/>
  <c r="G49" i="1"/>
  <c r="I47" i="1"/>
  <c r="C109" i="1"/>
  <c r="J106" i="1" l="1"/>
  <c r="K106" i="1" s="1"/>
  <c r="G107" i="1" s="1"/>
  <c r="G50" i="1"/>
  <c r="H49" i="1"/>
  <c r="I48" i="1"/>
  <c r="C110" i="1"/>
  <c r="J107" i="1" l="1"/>
  <c r="K107" i="1" s="1"/>
  <c r="G108" i="1" s="1"/>
  <c r="H50" i="1"/>
  <c r="G51" i="1"/>
  <c r="I49" i="1"/>
  <c r="C111" i="1"/>
  <c r="J108" i="1" l="1"/>
  <c r="K108" i="1" s="1"/>
  <c r="G109" i="1" s="1"/>
  <c r="H51" i="1"/>
  <c r="G52" i="1"/>
  <c r="I50" i="1"/>
  <c r="C112" i="1"/>
  <c r="J109" i="1" l="1"/>
  <c r="K109" i="1" s="1"/>
  <c r="G110" i="1" s="1"/>
  <c r="H52" i="1"/>
  <c r="G53" i="1"/>
  <c r="I51" i="1"/>
  <c r="C113" i="1"/>
  <c r="J110" i="1" l="1"/>
  <c r="K110" i="1" s="1"/>
  <c r="G111" i="1" s="1"/>
  <c r="G54" i="1"/>
  <c r="H53" i="1"/>
  <c r="I52" i="1"/>
  <c r="C114" i="1"/>
  <c r="J111" i="1" l="1"/>
  <c r="K111" i="1" s="1"/>
  <c r="G112" i="1" s="1"/>
  <c r="I53" i="1"/>
  <c r="C115" i="1"/>
  <c r="H54" i="1"/>
  <c r="G55" i="1"/>
  <c r="J112" i="1" l="1"/>
  <c r="K112" i="1" s="1"/>
  <c r="G113" i="1" s="1"/>
  <c r="H55" i="1"/>
  <c r="G56" i="1"/>
  <c r="I54" i="1"/>
  <c r="C116" i="1"/>
  <c r="J113" i="1" l="1"/>
  <c r="K113" i="1" s="1"/>
  <c r="G114" i="1" s="1"/>
  <c r="H56" i="1"/>
  <c r="G57" i="1"/>
  <c r="I55" i="1"/>
  <c r="C117" i="1"/>
  <c r="J114" i="1" l="1"/>
  <c r="K114" i="1" s="1"/>
  <c r="G115" i="1" s="1"/>
  <c r="G58" i="1"/>
  <c r="H57" i="1"/>
  <c r="I56" i="1"/>
  <c r="C118" i="1"/>
  <c r="J115" i="1" l="1"/>
  <c r="K115" i="1" s="1"/>
  <c r="G116" i="1" s="1"/>
  <c r="H58" i="1"/>
  <c r="G59" i="1"/>
  <c r="I57" i="1"/>
  <c r="C119" i="1"/>
  <c r="J116" i="1" l="1"/>
  <c r="K116" i="1" s="1"/>
  <c r="G117" i="1" s="1"/>
  <c r="I58" i="1"/>
  <c r="C120" i="1"/>
  <c r="H59" i="1"/>
  <c r="G60" i="1"/>
  <c r="J117" i="1" l="1"/>
  <c r="K117" i="1" s="1"/>
  <c r="G118" i="1" s="1"/>
  <c r="I59" i="1"/>
  <c r="C121" i="1"/>
  <c r="H60" i="1"/>
  <c r="G61" i="1"/>
  <c r="H61" i="1" s="1"/>
  <c r="J118" i="1" l="1"/>
  <c r="K118" i="1" s="1"/>
  <c r="G119" i="1" s="1"/>
  <c r="I61" i="1"/>
  <c r="C123" i="1"/>
  <c r="I60" i="1"/>
  <c r="C122" i="1"/>
  <c r="J119" i="1" l="1"/>
  <c r="K119" i="1" s="1"/>
  <c r="G120" i="1" s="1"/>
  <c r="J120" i="1" l="1"/>
  <c r="K120" i="1" s="1"/>
  <c r="G121" i="1" s="1"/>
  <c r="J121" i="1" l="1"/>
  <c r="K121" i="1" s="1"/>
  <c r="G122" i="1" s="1"/>
  <c r="J122" i="1" l="1"/>
  <c r="K122" i="1" s="1"/>
</calcChain>
</file>

<file path=xl/sharedStrings.xml><?xml version="1.0" encoding="utf-8"?>
<sst xmlns="http://schemas.openxmlformats.org/spreadsheetml/2006/main" count="72" uniqueCount="69">
  <si>
    <t>Оборудование</t>
  </si>
  <si>
    <t>разовая</t>
  </si>
  <si>
    <t>Месяц</t>
  </si>
  <si>
    <t>Расход</t>
  </si>
  <si>
    <t>Доход</t>
  </si>
  <si>
    <t>Разница</t>
  </si>
  <si>
    <t>Денежный поток</t>
  </si>
  <si>
    <t>Даты</t>
  </si>
  <si>
    <t>Для расходов</t>
  </si>
  <si>
    <t>Для доходов</t>
  </si>
  <si>
    <t>Маркетинг</t>
  </si>
  <si>
    <t>/мес</t>
  </si>
  <si>
    <t>выплата по кредиту</t>
  </si>
  <si>
    <t>количество покупок</t>
  </si>
  <si>
    <t>количество подписок</t>
  </si>
  <si>
    <t>ЦЕНА ПОКУПКИ</t>
  </si>
  <si>
    <t>ЦЕНА ПОДПИСКИ</t>
  </si>
  <si>
    <t>Аренда помещения</t>
  </si>
  <si>
    <t>Кол-во месяцев пока не сможем платить сами</t>
  </si>
  <si>
    <t>Кредит на сколько месяцев</t>
  </si>
  <si>
    <t>Ставка</t>
  </si>
  <si>
    <t>Общая сумма кредита</t>
  </si>
  <si>
    <t>Общая сумма задолженности на момент взятия кредита</t>
  </si>
  <si>
    <t>дисконт</t>
  </si>
  <si>
    <t>чдд</t>
  </si>
  <si>
    <t>БС</t>
  </si>
  <si>
    <t>ИД</t>
  </si>
  <si>
    <t>ВНД</t>
  </si>
  <si>
    <t>СО</t>
  </si>
  <si>
    <t>год</t>
  </si>
  <si>
    <t>Общая сумма задолженности / сумму кредита</t>
  </si>
  <si>
    <t>КЭИ</t>
  </si>
  <si>
    <t>сумма покупок</t>
  </si>
  <si>
    <t>сумма подписок</t>
  </si>
  <si>
    <t>(1+d)^t</t>
  </si>
  <si>
    <t>Количество лет</t>
  </si>
  <si>
    <t>Остаток основной части</t>
  </si>
  <si>
    <t>% в месяц</t>
  </si>
  <si>
    <t>Ежемесячный платеж</t>
  </si>
  <si>
    <t>Остаток с процентов</t>
  </si>
  <si>
    <t>После ежемесячной выплаты</t>
  </si>
  <si>
    <t>PERT</t>
  </si>
  <si>
    <t>Оптимистичные</t>
  </si>
  <si>
    <t>Пессимистичные</t>
  </si>
  <si>
    <t>Наиболее вероятные</t>
  </si>
  <si>
    <t>E 95% = E + 2 * СКО =</t>
  </si>
  <si>
    <t>Разработка ТЗ</t>
  </si>
  <si>
    <r>
      <rPr>
        <sz val="10"/>
        <rFont val="Arial"/>
        <family val="2"/>
        <charset val="1"/>
      </rPr>
      <t>Е = Σ(Е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>)</t>
    </r>
    <r>
      <rPr>
        <vertAlign val="subscript"/>
        <sz val="10"/>
        <rFont val="Arial"/>
        <family val="2"/>
        <charset val="1"/>
      </rPr>
      <t xml:space="preserve"> =</t>
    </r>
  </si>
  <si>
    <t>Обучение</t>
  </si>
  <si>
    <r>
      <rPr>
        <sz val="10"/>
        <rFont val="Arial"/>
        <family val="2"/>
        <charset val="1"/>
      </rPr>
      <t>СКО = √(Σ(СКО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 xml:space="preserve">)) = </t>
    </r>
  </si>
  <si>
    <t>Проектирование архитектуры ПО</t>
  </si>
  <si>
    <t>Проектирование пользовательского интерфейса</t>
  </si>
  <si>
    <r>
      <rPr>
        <sz val="10"/>
        <rFont val="Arial"/>
        <family val="2"/>
        <charset val="1"/>
      </rPr>
      <t>E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 xml:space="preserve">i </t>
    </r>
    <r>
      <rPr>
        <sz val="10"/>
        <rFont val="Arial"/>
        <family val="2"/>
        <charset val="1"/>
      </rPr>
      <t>+ 4 * M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 xml:space="preserve"> + O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>)/6</t>
    </r>
  </si>
  <si>
    <t>Проектирование веб-страницы</t>
  </si>
  <si>
    <r>
      <rPr>
        <sz val="10"/>
        <rFont val="Arial"/>
        <family val="2"/>
        <charset val="1"/>
      </rPr>
      <t>СКО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 xml:space="preserve"> = (P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>-O</t>
    </r>
    <r>
      <rPr>
        <vertAlign val="subscript"/>
        <sz val="10"/>
        <rFont val="Arial"/>
        <family val="2"/>
        <charset val="1"/>
      </rPr>
      <t>i</t>
    </r>
    <r>
      <rPr>
        <sz val="10"/>
        <rFont val="Arial"/>
        <family val="2"/>
        <charset val="1"/>
      </rPr>
      <t>)/6</t>
    </r>
  </si>
  <si>
    <t>Проектирование пользовательского интерфейса мобильной версии</t>
  </si>
  <si>
    <t>Проектирование базы данных</t>
  </si>
  <si>
    <t>Реализация архитектуры ПО</t>
  </si>
  <si>
    <t>Реализация пользовательского интерфейса</t>
  </si>
  <si>
    <t>Реализация веб-страницы</t>
  </si>
  <si>
    <t>Реализация пользовательского интерфейса мобильной версии</t>
  </si>
  <si>
    <t>Реализация базы данных</t>
  </si>
  <si>
    <t>Back-end разработка</t>
  </si>
  <si>
    <t>Альфа-тест</t>
  </si>
  <si>
    <t>Бета-тест</t>
  </si>
  <si>
    <t>Разработка документации</t>
  </si>
  <si>
    <r>
      <t>СКО</t>
    </r>
    <r>
      <rPr>
        <b/>
        <vertAlign val="subscript"/>
        <sz val="10"/>
        <rFont val="Arial"/>
        <family val="2"/>
        <charset val="1"/>
      </rPr>
      <t>i</t>
    </r>
  </si>
  <si>
    <t>СКОi^2</t>
  </si>
  <si>
    <r>
      <t>E</t>
    </r>
    <r>
      <rPr>
        <b/>
        <vertAlign val="subscript"/>
        <sz val="10"/>
        <rFont val="Arial"/>
        <family val="2"/>
        <charset val="1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</si>
</sst>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[$р.-419];[Red]\-#,##0\ [$р.-419]"/>
    <numFmt numFmtId="165" formatCode="mm/dd/yy"/>
    <numFmt numFmtId="166" formatCode="#,##0.00\ [$р.-419];[Red]\-#,##0.00\ [$р.-419]"/>
    <numFmt numFmtId="167" formatCode="#,##0.00&quot; ₽&quot;;[Red]\-#,##0.00&quot; ₽&quot;"/>
  </numFmts>
  <fonts count="5" x14ac:knownFonts="1">
    <font>
      <sz val="10"/>
      <name val="Arial"/>
      <family val="2"/>
      <charset val="1"/>
    </font>
    <font>
      <sz val="11"/>
      <color rgb="FF000000"/>
      <name val="Calibri"/>
      <family val="2"/>
      <charset val="204"/>
    </font>
    <font>
      <b/>
      <sz val="10"/>
      <name val="Arial"/>
      <family val="2"/>
      <charset val="1"/>
    </font>
    <font>
      <b/>
      <vertAlign val="subscript"/>
      <sz val="10"/>
      <name val="Arial"/>
      <family val="2"/>
      <charset val="1"/>
    </font>
    <font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0" fontId="0" fillId="0" borderId="0" xfId="0" applyNumberFormat="1"/>
    <xf numFmtId="9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2" fillId="2" borderId="0" xfId="0" applyFont="1" applyFill="1"/>
    <xf numFmtId="0" fontId="2" fillId="0" borderId="1" xfId="0" applyFont="1" applyBorder="1"/>
    <xf numFmtId="0" fontId="2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 vertical="center"/>
    </xf>
    <xf numFmtId="166" fontId="0" fillId="0" borderId="0" xfId="0" applyNumberForma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График окупаемости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Расход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Sheet1!$F$2:$F$26</c:f>
              <c:numCache>
                <c:formatCode>#\ ##0\ [$р.-419];[Red]\-#\ ##0\ [$р.-419]</c:formatCode>
                <c:ptCount val="25"/>
                <c:pt idx="0">
                  <c:v>590630.78977602022</c:v>
                </c:pt>
                <c:pt idx="1">
                  <c:v>630630.78977602022</c:v>
                </c:pt>
                <c:pt idx="2">
                  <c:v>670630.78977602022</c:v>
                </c:pt>
                <c:pt idx="3">
                  <c:v>890630.78977602022</c:v>
                </c:pt>
                <c:pt idx="4">
                  <c:v>975630.78977602022</c:v>
                </c:pt>
                <c:pt idx="5">
                  <c:v>1060630.7897760202</c:v>
                </c:pt>
                <c:pt idx="6">
                  <c:v>1145630.7897760202</c:v>
                </c:pt>
                <c:pt idx="7">
                  <c:v>1230630.7897760202</c:v>
                </c:pt>
                <c:pt idx="8">
                  <c:v>1315630.7897760202</c:v>
                </c:pt>
                <c:pt idx="9">
                  <c:v>1400630.7897760202</c:v>
                </c:pt>
                <c:pt idx="10">
                  <c:v>1485630.7897760202</c:v>
                </c:pt>
                <c:pt idx="11">
                  <c:v>1570630.7897760202</c:v>
                </c:pt>
                <c:pt idx="12">
                  <c:v>1655630.7897760202</c:v>
                </c:pt>
                <c:pt idx="13">
                  <c:v>1740630.7897760202</c:v>
                </c:pt>
                <c:pt idx="14">
                  <c:v>1825630.7897760202</c:v>
                </c:pt>
                <c:pt idx="15">
                  <c:v>1910630.7897760202</c:v>
                </c:pt>
                <c:pt idx="16">
                  <c:v>1995630.7897760202</c:v>
                </c:pt>
                <c:pt idx="17">
                  <c:v>2080630.7897760202</c:v>
                </c:pt>
                <c:pt idx="18">
                  <c:v>2165630.7897760202</c:v>
                </c:pt>
                <c:pt idx="19">
                  <c:v>2250630.7897760202</c:v>
                </c:pt>
                <c:pt idx="20">
                  <c:v>2335630.7897760202</c:v>
                </c:pt>
                <c:pt idx="21">
                  <c:v>2420630.7897760202</c:v>
                </c:pt>
                <c:pt idx="22">
                  <c:v>2505630.7897760202</c:v>
                </c:pt>
                <c:pt idx="23">
                  <c:v>2590630.7897760202</c:v>
                </c:pt>
                <c:pt idx="24">
                  <c:v>2675630.7897760202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3-4336-B630-A08AF80B88E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Доход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Sheet1!$G$2:$G$26</c:f>
              <c:numCache>
                <c:formatCode>#\ ##0\ [$р.-419];[Red]\-#\ ##0\ [$р.-419]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5075</c:v>
                </c:pt>
                <c:pt idx="4">
                  <c:v>20300</c:v>
                </c:pt>
                <c:pt idx="5">
                  <c:v>96425</c:v>
                </c:pt>
                <c:pt idx="6">
                  <c:v>197925</c:v>
                </c:pt>
                <c:pt idx="7">
                  <c:v>451675</c:v>
                </c:pt>
                <c:pt idx="8">
                  <c:v>756175</c:v>
                </c:pt>
                <c:pt idx="9">
                  <c:v>1035300</c:v>
                </c:pt>
                <c:pt idx="10">
                  <c:v>1344875</c:v>
                </c:pt>
                <c:pt idx="11">
                  <c:v>1639225</c:v>
                </c:pt>
                <c:pt idx="12">
                  <c:v>1928500</c:v>
                </c:pt>
                <c:pt idx="13">
                  <c:v>2070600</c:v>
                </c:pt>
                <c:pt idx="14">
                  <c:v>2187325</c:v>
                </c:pt>
                <c:pt idx="15">
                  <c:v>2420775</c:v>
                </c:pt>
                <c:pt idx="16">
                  <c:v>2679600</c:v>
                </c:pt>
                <c:pt idx="17">
                  <c:v>2984100</c:v>
                </c:pt>
                <c:pt idx="18">
                  <c:v>3288600</c:v>
                </c:pt>
                <c:pt idx="19">
                  <c:v>3567725</c:v>
                </c:pt>
                <c:pt idx="20">
                  <c:v>3801175</c:v>
                </c:pt>
                <c:pt idx="21">
                  <c:v>4060000</c:v>
                </c:pt>
                <c:pt idx="22">
                  <c:v>4364500</c:v>
                </c:pt>
                <c:pt idx="23">
                  <c:v>4669000</c:v>
                </c:pt>
                <c:pt idx="24">
                  <c:v>4948125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3-4336-B630-A08AF80B8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0749152"/>
        <c:axId val="58080124"/>
      </c:lineChart>
      <c:catAx>
        <c:axId val="6074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58080124"/>
        <c:crosses val="autoZero"/>
        <c:auto val="1"/>
        <c:lblAlgn val="ctr"/>
        <c:lblOffset val="100"/>
        <c:noMultiLvlLbl val="0"/>
      </c:catAx>
      <c:valAx>
        <c:axId val="580801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\ [$р.-419];[Red]\-#\ ##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6074915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График кредитования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Бюджет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Sheet1!$C$63:$C$123</c:f>
              <c:numCache>
                <c:formatCode>#\ ##0.00" ₽";[Red]\-#\ ##0.00" ₽"</c:formatCode>
                <c:ptCount val="61"/>
                <c:pt idx="0" formatCode="#\ ##0.00\ [$р.-419];[Red]\-#\ ##0.00\ [$р.-419]">
                  <c:v>1531000</c:v>
                </c:pt>
                <c:pt idx="1">
                  <c:v>940369.21022397978</c:v>
                </c:pt>
                <c:pt idx="2">
                  <c:v>900369.21022397978</c:v>
                </c:pt>
                <c:pt idx="3">
                  <c:v>860369.21022397978</c:v>
                </c:pt>
                <c:pt idx="4">
                  <c:v>645444.21022397978</c:v>
                </c:pt>
                <c:pt idx="5">
                  <c:v>575669.21022397978</c:v>
                </c:pt>
                <c:pt idx="6">
                  <c:v>566794.21022397978</c:v>
                </c:pt>
                <c:pt idx="7">
                  <c:v>583294.21022397978</c:v>
                </c:pt>
                <c:pt idx="8">
                  <c:v>752044.21022397978</c:v>
                </c:pt>
                <c:pt idx="9">
                  <c:v>971544.21022397978</c:v>
                </c:pt>
                <c:pt idx="10">
                  <c:v>1165669.2102239798</c:v>
                </c:pt>
                <c:pt idx="11">
                  <c:v>1390244.2102239798</c:v>
                </c:pt>
                <c:pt idx="12">
                  <c:v>1599594.2102239798</c:v>
                </c:pt>
                <c:pt idx="13">
                  <c:v>1803869.2102239798</c:v>
                </c:pt>
                <c:pt idx="14">
                  <c:v>1860969.2102239798</c:v>
                </c:pt>
                <c:pt idx="15">
                  <c:v>1892694.2102239798</c:v>
                </c:pt>
                <c:pt idx="16">
                  <c:v>2041144.2102239798</c:v>
                </c:pt>
                <c:pt idx="17">
                  <c:v>2214969.2102239798</c:v>
                </c:pt>
                <c:pt idx="18">
                  <c:v>2434469.2102239798</c:v>
                </c:pt>
                <c:pt idx="19">
                  <c:v>2653969.2102239798</c:v>
                </c:pt>
                <c:pt idx="20">
                  <c:v>2848094.2102239798</c:v>
                </c:pt>
                <c:pt idx="21">
                  <c:v>2996544.2102239798</c:v>
                </c:pt>
                <c:pt idx="22">
                  <c:v>3170369.2102239798</c:v>
                </c:pt>
                <c:pt idx="23">
                  <c:v>3389869.2102239798</c:v>
                </c:pt>
                <c:pt idx="24">
                  <c:v>3609369.2102239798</c:v>
                </c:pt>
                <c:pt idx="25">
                  <c:v>3803494.2102239798</c:v>
                </c:pt>
                <c:pt idx="26">
                  <c:v>4028069.2102239798</c:v>
                </c:pt>
                <c:pt idx="27">
                  <c:v>4196819.2102239802</c:v>
                </c:pt>
                <c:pt idx="28">
                  <c:v>4345269.2102239802</c:v>
                </c:pt>
                <c:pt idx="29">
                  <c:v>4519094.2102239802</c:v>
                </c:pt>
                <c:pt idx="30">
                  <c:v>4738594.2102239802</c:v>
                </c:pt>
                <c:pt idx="31">
                  <c:v>4958094.2102239802</c:v>
                </c:pt>
                <c:pt idx="32">
                  <c:v>5152219.2102239802</c:v>
                </c:pt>
                <c:pt idx="33">
                  <c:v>5376794.2102239802</c:v>
                </c:pt>
                <c:pt idx="34">
                  <c:v>5545544.2102239802</c:v>
                </c:pt>
                <c:pt idx="35">
                  <c:v>5693994.2102239802</c:v>
                </c:pt>
                <c:pt idx="36">
                  <c:v>5867819.2102239802</c:v>
                </c:pt>
                <c:pt idx="37">
                  <c:v>6087319.2102239802</c:v>
                </c:pt>
                <c:pt idx="38">
                  <c:v>6306819.2102239802</c:v>
                </c:pt>
                <c:pt idx="39">
                  <c:v>6500944.2102239802</c:v>
                </c:pt>
                <c:pt idx="40">
                  <c:v>6649394.2102239802</c:v>
                </c:pt>
                <c:pt idx="41">
                  <c:v>6823219.2102239802</c:v>
                </c:pt>
                <c:pt idx="42">
                  <c:v>7042719.2102239802</c:v>
                </c:pt>
                <c:pt idx="43">
                  <c:v>7191169.2102239802</c:v>
                </c:pt>
                <c:pt idx="44">
                  <c:v>7364994.2102239802</c:v>
                </c:pt>
                <c:pt idx="45">
                  <c:v>7584494.2102239802</c:v>
                </c:pt>
                <c:pt idx="46">
                  <c:v>7803994.2102239802</c:v>
                </c:pt>
                <c:pt idx="47">
                  <c:v>7998119.2102239802</c:v>
                </c:pt>
                <c:pt idx="48">
                  <c:v>8146569.2102239802</c:v>
                </c:pt>
                <c:pt idx="49">
                  <c:v>8320394.2102239802</c:v>
                </c:pt>
                <c:pt idx="50">
                  <c:v>8539894.2102239802</c:v>
                </c:pt>
                <c:pt idx="51">
                  <c:v>8759394.2102239802</c:v>
                </c:pt>
                <c:pt idx="52">
                  <c:v>8953519.2102239802</c:v>
                </c:pt>
                <c:pt idx="53">
                  <c:v>9101969.2102239802</c:v>
                </c:pt>
                <c:pt idx="54">
                  <c:v>9275794.2102239802</c:v>
                </c:pt>
                <c:pt idx="55">
                  <c:v>9495294.2102239802</c:v>
                </c:pt>
                <c:pt idx="56">
                  <c:v>9714794.2102239802</c:v>
                </c:pt>
                <c:pt idx="57">
                  <c:v>9863244.2102239802</c:v>
                </c:pt>
                <c:pt idx="58">
                  <c:v>10037069.21022398</c:v>
                </c:pt>
                <c:pt idx="59">
                  <c:v>10256569.21022398</c:v>
                </c:pt>
                <c:pt idx="60">
                  <c:v>10476069.21022398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A-4C61-93E7-539AF994EDE9}"/>
            </c:ext>
          </c:extLst>
        </c:ser>
        <c:ser>
          <c:idx val="1"/>
          <c:order val="1"/>
          <c:tx>
            <c:v>Остаток по кредиту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Sheet1!$G$63:$G$123</c:f>
              <c:numCache>
                <c:formatCode>#\ ##0.00" ₽";[Red]\-#\ ##0.00" ₽"</c:formatCode>
                <c:ptCount val="61"/>
                <c:pt idx="0" formatCode="#\ ##0.00\ [$р.-419];[Red]\-#\ ##0.00\ [$р.-419]">
                  <c:v>1531000</c:v>
                </c:pt>
                <c:pt idx="1">
                  <c:v>1515482.4602239798</c:v>
                </c:pt>
                <c:pt idx="2">
                  <c:v>1499720.5191964873</c:v>
                </c:pt>
                <c:pt idx="3">
                  <c:v>1483710.3275978118</c:v>
                </c:pt>
                <c:pt idx="4">
                  <c:v>1467447.9754814571</c:v>
                </c:pt>
                <c:pt idx="5">
                  <c:v>1450929.4913192699</c:v>
                </c:pt>
                <c:pt idx="6">
                  <c:v>1434150.8410315281</c:v>
                </c:pt>
                <c:pt idx="7">
                  <c:v>1417107.9270017545</c:v>
                </c:pt>
                <c:pt idx="8">
                  <c:v>1399796.587076012</c:v>
                </c:pt>
                <c:pt idx="9">
                  <c:v>1382212.593546439</c:v>
                </c:pt>
                <c:pt idx="10">
                  <c:v>1364351.6521187751</c:v>
                </c:pt>
                <c:pt idx="11">
                  <c:v>1346209.4008636256</c:v>
                </c:pt>
                <c:pt idx="12">
                  <c:v>1327781.4091512074</c:v>
                </c:pt>
                <c:pt idx="13">
                  <c:v>1309063.1765693186</c:v>
                </c:pt>
                <c:pt idx="14">
                  <c:v>1290050.1318242652</c:v>
                </c:pt>
                <c:pt idx="15">
                  <c:v>1270737.6316244772</c:v>
                </c:pt>
                <c:pt idx="16">
                  <c:v>1251120.9595465425</c:v>
                </c:pt>
                <c:pt idx="17">
                  <c:v>1231195.3248833802</c:v>
                </c:pt>
                <c:pt idx="18">
                  <c:v>1210955.8614742733</c:v>
                </c:pt>
                <c:pt idx="19">
                  <c:v>1190397.6265164728</c:v>
                </c:pt>
                <c:pt idx="20">
                  <c:v>1169515.5993580869</c:v>
                </c:pt>
                <c:pt idx="21">
                  <c:v>1148304.6802719566</c:v>
                </c:pt>
                <c:pt idx="22">
                  <c:v>1126759.6892102198</c:v>
                </c:pt>
                <c:pt idx="23">
                  <c:v>1104875.3645392605</c:v>
                </c:pt>
                <c:pt idx="24">
                  <c:v>1082646.3617547336</c:v>
                </c:pt>
                <c:pt idx="25">
                  <c:v>1060067.2521763504</c:v>
                </c:pt>
                <c:pt idx="26">
                  <c:v>1037132.5216221077</c:v>
                </c:pt>
                <c:pt idx="27">
                  <c:v>1013836.5690616356</c:v>
                </c:pt>
                <c:pt idx="28">
                  <c:v>990173.70524833619</c:v>
                </c:pt>
                <c:pt idx="29">
                  <c:v>966138.15132997732</c:v>
                </c:pt>
                <c:pt idx="30">
                  <c:v>941724.03743740427</c:v>
                </c:pt>
                <c:pt idx="31">
                  <c:v>916925.40125102317</c:v>
                </c:pt>
                <c:pt idx="32">
                  <c:v>891736.18654470658</c:v>
                </c:pt>
                <c:pt idx="33">
                  <c:v>866150.24170676549</c:v>
                </c:pt>
                <c:pt idx="34">
                  <c:v>840161.31823762681</c:v>
                </c:pt>
                <c:pt idx="35">
                  <c:v>813763.06922384922</c:v>
                </c:pt>
                <c:pt idx="36">
                  <c:v>786949.04778810462</c:v>
                </c:pt>
                <c:pt idx="37">
                  <c:v>759712.70551474707</c:v>
                </c:pt>
                <c:pt idx="38">
                  <c:v>732047.39085058414</c:v>
                </c:pt>
                <c:pt idx="39">
                  <c:v>703946.34748046065</c:v>
                </c:pt>
                <c:pt idx="40">
                  <c:v>675402.71267725772</c:v>
                </c:pt>
                <c:pt idx="41">
                  <c:v>646409.51562590431</c:v>
                </c:pt>
                <c:pt idx="42">
                  <c:v>616959.67572099203</c:v>
                </c:pt>
                <c:pt idx="43">
                  <c:v>587046.00083757739</c:v>
                </c:pt>
                <c:pt idx="44">
                  <c:v>556661.18557474902</c:v>
                </c:pt>
                <c:pt idx="45">
                  <c:v>525797.80947153107</c:v>
                </c:pt>
                <c:pt idx="46">
                  <c:v>494448.33519468748</c:v>
                </c:pt>
                <c:pt idx="47">
                  <c:v>462605.10669798357</c:v>
                </c:pt>
                <c:pt idx="48">
                  <c:v>430260.34735245659</c:v>
                </c:pt>
                <c:pt idx="49">
                  <c:v>397406.15804723761</c:v>
                </c:pt>
                <c:pt idx="50">
                  <c:v>364034.51526046143</c:v>
                </c:pt>
                <c:pt idx="51">
                  <c:v>330137.26909979351</c:v>
                </c:pt>
                <c:pt idx="52">
                  <c:v>295706.14131209505</c:v>
                </c:pt>
                <c:pt idx="53">
                  <c:v>260732.72326174035</c:v>
                </c:pt>
                <c:pt idx="54">
                  <c:v>225208.47387709256</c:v>
                </c:pt>
                <c:pt idx="55">
                  <c:v>189124.71756463658</c:v>
                </c:pt>
                <c:pt idx="56">
                  <c:v>152472.64209025941</c:v>
                </c:pt>
                <c:pt idx="57">
                  <c:v>115243.29642716081</c:v>
                </c:pt>
                <c:pt idx="58">
                  <c:v>77427.5885698684</c:v>
                </c:pt>
                <c:pt idx="59">
                  <c:v>39016.283313823638</c:v>
                </c:pt>
                <c:pt idx="6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A-4C61-93E7-539AF994E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253808"/>
        <c:axId val="13425439"/>
      </c:lineChart>
      <c:catAx>
        <c:axId val="342538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3425439"/>
        <c:crosses val="autoZero"/>
        <c:auto val="1"/>
        <c:lblAlgn val="ctr"/>
        <c:lblOffset val="100"/>
        <c:noMultiLvlLbl val="0"/>
      </c:catAx>
      <c:valAx>
        <c:axId val="134254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\ ##0.00\ [$р.-419];[Red]\-#\ ##0.00\ [$р.-419]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3425380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127080</xdr:colOff>
      <xdr:row>40</xdr:row>
      <xdr:rowOff>31680</xdr:rowOff>
    </xdr:from>
    <xdr:to>
      <xdr:col>28</xdr:col>
      <xdr:colOff>616680</xdr:colOff>
      <xdr:row>56</xdr:row>
      <xdr:rowOff>81000</xdr:rowOff>
    </xdr:to>
    <xdr:graphicFrame macro="">
      <xdr:nvGraphicFramePr>
        <xdr:cNvPr id="2" name="Диаграмма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983160</xdr:colOff>
      <xdr:row>122</xdr:row>
      <xdr:rowOff>111600</xdr:rowOff>
    </xdr:from>
    <xdr:to>
      <xdr:col>5</xdr:col>
      <xdr:colOff>887040</xdr:colOff>
      <xdr:row>140</xdr:row>
      <xdr:rowOff>37440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topLeftCell="A2" zoomScaleNormal="100" workbookViewId="0">
      <selection activeCell="B24" sqref="B24"/>
    </sheetView>
  </sheetViews>
  <sheetFormatPr defaultColWidth="11.53515625" defaultRowHeight="12.45" x14ac:dyDescent="0.3"/>
  <cols>
    <col min="1" max="1" width="20.3046875" customWidth="1"/>
    <col min="2" max="2" width="21.84375" customWidth="1"/>
    <col min="3" max="3" width="19.15234375" customWidth="1"/>
    <col min="4" max="4" width="13.4609375" customWidth="1"/>
    <col min="6" max="6" width="22.84375" customWidth="1"/>
    <col min="7" max="7" width="15.61328125" customWidth="1"/>
    <col min="8" max="8" width="16.765625" customWidth="1"/>
    <col min="9" max="9" width="20.23046875" customWidth="1"/>
    <col min="10" max="10" width="18.15234375" bestFit="1" customWidth="1"/>
    <col min="11" max="11" width="7.69140625" customWidth="1"/>
    <col min="12" max="12" width="24.3828125" customWidth="1"/>
    <col min="13" max="13" width="16.53515625" customWidth="1"/>
    <col min="14" max="14" width="18.53515625" customWidth="1"/>
    <col min="15" max="15" width="16.53515625" customWidth="1"/>
    <col min="16" max="16" width="20.84375" customWidth="1"/>
  </cols>
  <sheetData>
    <row r="1" spans="1:20" x14ac:dyDescent="0.3">
      <c r="A1" t="s">
        <v>0</v>
      </c>
      <c r="B1">
        <v>511000</v>
      </c>
      <c r="C1" t="s">
        <v>1</v>
      </c>
      <c r="E1" s="1" t="s">
        <v>2</v>
      </c>
      <c r="F1" s="2" t="s">
        <v>3</v>
      </c>
      <c r="G1" t="s">
        <v>4</v>
      </c>
      <c r="H1" t="s">
        <v>5</v>
      </c>
      <c r="I1" t="s">
        <v>6</v>
      </c>
      <c r="J1" t="s">
        <v>7</v>
      </c>
      <c r="N1" t="s">
        <v>8</v>
      </c>
      <c r="P1" s="20" t="s">
        <v>9</v>
      </c>
      <c r="Q1" s="20"/>
    </row>
    <row r="2" spans="1:20" ht="14.6" x14ac:dyDescent="0.4">
      <c r="A2" t="s">
        <v>10</v>
      </c>
      <c r="B2">
        <v>45000</v>
      </c>
      <c r="C2" t="s">
        <v>11</v>
      </c>
      <c r="E2">
        <v>1</v>
      </c>
      <c r="F2" s="3">
        <f>$B$1+E2*$B$3+$N$3</f>
        <v>590630.78977602022</v>
      </c>
      <c r="G2" s="3">
        <f>P3*$S$3+Q3*$T$3</f>
        <v>0</v>
      </c>
      <c r="H2" s="3">
        <f t="shared" ref="H2:H33" si="0">G2-F2</f>
        <v>-590630.78977602022</v>
      </c>
      <c r="I2" s="3">
        <f>H2</f>
        <v>-590630.78977602022</v>
      </c>
      <c r="J2" s="4">
        <f ca="1">TODAY()</f>
        <v>44700</v>
      </c>
      <c r="K2" s="3"/>
      <c r="N2" t="s">
        <v>12</v>
      </c>
      <c r="P2" t="s">
        <v>13</v>
      </c>
      <c r="Q2" s="5" t="s">
        <v>14</v>
      </c>
      <c r="S2" t="s">
        <v>15</v>
      </c>
      <c r="T2" t="s">
        <v>16</v>
      </c>
    </row>
    <row r="3" spans="1:20" x14ac:dyDescent="0.3">
      <c r="A3" t="s">
        <v>17</v>
      </c>
      <c r="B3">
        <v>40000</v>
      </c>
      <c r="C3" t="s">
        <v>11</v>
      </c>
      <c r="E3">
        <v>2</v>
      </c>
      <c r="F3" s="3">
        <f>$B$1+E3*$B$3+$N$3</f>
        <v>630630.78977602022</v>
      </c>
      <c r="G3" s="3">
        <f t="shared" ref="G3:G34" si="1">P4*$S$3+Q4*$T$3+G2</f>
        <v>0</v>
      </c>
      <c r="H3" s="3">
        <f t="shared" si="0"/>
        <v>-630630.78977602022</v>
      </c>
      <c r="I3" s="3">
        <f>H3-I2</f>
        <v>-40000</v>
      </c>
      <c r="J3" s="4">
        <f ca="1">J2+MONTH(E3)</f>
        <v>44701</v>
      </c>
      <c r="K3" s="3"/>
      <c r="N3" s="3">
        <f>ABS(PMT((N12/12),N7,B13,0,0))</f>
        <v>39630.789776020189</v>
      </c>
      <c r="O3" t="s">
        <v>11</v>
      </c>
      <c r="P3">
        <v>0</v>
      </c>
      <c r="Q3" s="6">
        <f t="shared" ref="Q3:Q34" si="2">P3*0.015</f>
        <v>0</v>
      </c>
      <c r="S3">
        <v>50</v>
      </c>
      <c r="T3">
        <v>50</v>
      </c>
    </row>
    <row r="4" spans="1:20" x14ac:dyDescent="0.3">
      <c r="E4">
        <v>3</v>
      </c>
      <c r="F4" s="3">
        <f>$B$1+E4*$B$3+$N$3</f>
        <v>670630.78977602022</v>
      </c>
      <c r="G4" s="3">
        <f t="shared" si="1"/>
        <v>0</v>
      </c>
      <c r="H4" s="3">
        <f t="shared" si="0"/>
        <v>-670630.78977602022</v>
      </c>
      <c r="I4" s="3">
        <f t="shared" ref="I4:I35" si="3">H4-H3</f>
        <v>-40000</v>
      </c>
      <c r="J4" s="4">
        <f t="shared" ref="J4:J60" ca="1" si="4">J3+MONTH(E4)</f>
        <v>44702</v>
      </c>
      <c r="K4" s="3"/>
      <c r="P4">
        <v>0</v>
      </c>
      <c r="Q4" s="6">
        <f t="shared" si="2"/>
        <v>0</v>
      </c>
    </row>
    <row r="5" spans="1:20" ht="12.75" customHeight="1" x14ac:dyDescent="0.3">
      <c r="A5" s="19" t="s">
        <v>18</v>
      </c>
      <c r="B5" s="19">
        <v>12</v>
      </c>
      <c r="E5">
        <v>4</v>
      </c>
      <c r="F5" s="3">
        <f t="shared" ref="F5:F36" si="5">$B$1+E5*($B$3+$B$2)+$N$3</f>
        <v>890630.78977602022</v>
      </c>
      <c r="G5" s="3">
        <f t="shared" si="1"/>
        <v>5075</v>
      </c>
      <c r="H5" s="3">
        <f t="shared" si="0"/>
        <v>-885555.78977602022</v>
      </c>
      <c r="I5" s="3">
        <f t="shared" si="3"/>
        <v>-214925</v>
      </c>
      <c r="J5" s="4">
        <f t="shared" ca="1" si="4"/>
        <v>44703</v>
      </c>
      <c r="K5" s="3"/>
      <c r="P5">
        <v>0</v>
      </c>
      <c r="Q5" s="6">
        <f t="shared" si="2"/>
        <v>0</v>
      </c>
    </row>
    <row r="6" spans="1:20" x14ac:dyDescent="0.3">
      <c r="A6" s="19"/>
      <c r="B6" s="19"/>
      <c r="E6">
        <v>5</v>
      </c>
      <c r="F6" s="3">
        <f t="shared" si="5"/>
        <v>975630.78977602022</v>
      </c>
      <c r="G6" s="3">
        <f t="shared" si="1"/>
        <v>20300</v>
      </c>
      <c r="H6" s="3">
        <f t="shared" si="0"/>
        <v>-955330.78977602022</v>
      </c>
      <c r="I6" s="3">
        <f t="shared" si="3"/>
        <v>-69775</v>
      </c>
      <c r="J6" s="4">
        <f t="shared" ca="1" si="4"/>
        <v>44704</v>
      </c>
      <c r="K6" s="3"/>
      <c r="N6" t="s">
        <v>19</v>
      </c>
      <c r="P6">
        <v>100</v>
      </c>
      <c r="Q6" s="6">
        <f t="shared" si="2"/>
        <v>1.5</v>
      </c>
    </row>
    <row r="7" spans="1:20" x14ac:dyDescent="0.3">
      <c r="A7" s="19"/>
      <c r="B7" s="19"/>
      <c r="E7">
        <v>6</v>
      </c>
      <c r="F7" s="3">
        <f t="shared" si="5"/>
        <v>1060630.7897760202</v>
      </c>
      <c r="G7" s="3">
        <f t="shared" si="1"/>
        <v>96425</v>
      </c>
      <c r="H7" s="3">
        <f t="shared" si="0"/>
        <v>-964205.78977602022</v>
      </c>
      <c r="I7" s="3">
        <f t="shared" si="3"/>
        <v>-8875</v>
      </c>
      <c r="J7" s="4">
        <f t="shared" ca="1" si="4"/>
        <v>44705</v>
      </c>
      <c r="N7">
        <v>60</v>
      </c>
      <c r="P7">
        <v>300</v>
      </c>
      <c r="Q7" s="6">
        <f t="shared" si="2"/>
        <v>4.5</v>
      </c>
    </row>
    <row r="8" spans="1:20" x14ac:dyDescent="0.3">
      <c r="A8" s="19"/>
      <c r="B8" s="19"/>
      <c r="E8">
        <v>7</v>
      </c>
      <c r="F8" s="3">
        <f t="shared" si="5"/>
        <v>1145630.7897760202</v>
      </c>
      <c r="G8" s="3">
        <f t="shared" si="1"/>
        <v>197925</v>
      </c>
      <c r="H8" s="3">
        <f t="shared" si="0"/>
        <v>-947705.78977602022</v>
      </c>
      <c r="I8" s="3">
        <f t="shared" si="3"/>
        <v>16500</v>
      </c>
      <c r="J8" s="4">
        <f t="shared" ca="1" si="4"/>
        <v>44706</v>
      </c>
      <c r="P8">
        <v>1500</v>
      </c>
      <c r="Q8" s="6">
        <f t="shared" si="2"/>
        <v>22.5</v>
      </c>
    </row>
    <row r="9" spans="1:20" x14ac:dyDescent="0.3">
      <c r="A9" s="19"/>
      <c r="B9" s="19"/>
      <c r="E9">
        <v>8</v>
      </c>
      <c r="F9" s="3">
        <f t="shared" si="5"/>
        <v>1230630.7897760202</v>
      </c>
      <c r="G9" s="3">
        <f t="shared" si="1"/>
        <v>451675</v>
      </c>
      <c r="H9" s="3">
        <f t="shared" si="0"/>
        <v>-778955.78977602022</v>
      </c>
      <c r="I9" s="3">
        <f t="shared" si="3"/>
        <v>168750</v>
      </c>
      <c r="J9" s="4">
        <f t="shared" ca="1" si="4"/>
        <v>44707</v>
      </c>
      <c r="P9">
        <v>2000</v>
      </c>
      <c r="Q9" s="6">
        <f t="shared" si="2"/>
        <v>30</v>
      </c>
    </row>
    <row r="10" spans="1:20" x14ac:dyDescent="0.3">
      <c r="A10" s="19"/>
      <c r="B10" s="19"/>
      <c r="E10">
        <v>9</v>
      </c>
      <c r="F10" s="3">
        <f t="shared" si="5"/>
        <v>1315630.7897760202</v>
      </c>
      <c r="G10" s="3">
        <f t="shared" si="1"/>
        <v>756175</v>
      </c>
      <c r="H10" s="3">
        <f t="shared" si="0"/>
        <v>-559455.78977602022</v>
      </c>
      <c r="I10" s="3">
        <f t="shared" si="3"/>
        <v>219500</v>
      </c>
      <c r="J10" s="4">
        <f t="shared" ca="1" si="4"/>
        <v>44708</v>
      </c>
      <c r="P10">
        <v>5000</v>
      </c>
      <c r="Q10" s="6">
        <f t="shared" si="2"/>
        <v>75</v>
      </c>
    </row>
    <row r="11" spans="1:20" x14ac:dyDescent="0.3">
      <c r="E11">
        <v>10</v>
      </c>
      <c r="F11" s="3">
        <f t="shared" si="5"/>
        <v>1400630.7897760202</v>
      </c>
      <c r="G11" s="3">
        <f t="shared" si="1"/>
        <v>1035300</v>
      </c>
      <c r="H11" s="3">
        <f t="shared" si="0"/>
        <v>-365330.78977602022</v>
      </c>
      <c r="I11" s="3">
        <f t="shared" si="3"/>
        <v>194125</v>
      </c>
      <c r="J11" s="4">
        <f t="shared" ca="1" si="4"/>
        <v>44709</v>
      </c>
      <c r="N11" t="s">
        <v>20</v>
      </c>
      <c r="P11">
        <v>6000</v>
      </c>
      <c r="Q11" s="6">
        <f t="shared" si="2"/>
        <v>90</v>
      </c>
    </row>
    <row r="12" spans="1:20" x14ac:dyDescent="0.3">
      <c r="E12">
        <v>11</v>
      </c>
      <c r="F12" s="3">
        <f t="shared" si="5"/>
        <v>1485630.7897760202</v>
      </c>
      <c r="G12" s="3">
        <f t="shared" si="1"/>
        <v>1344875</v>
      </c>
      <c r="H12" s="3">
        <f t="shared" si="0"/>
        <v>-140755.78977602022</v>
      </c>
      <c r="I12" s="3">
        <f t="shared" si="3"/>
        <v>224575</v>
      </c>
      <c r="J12" s="4">
        <f t="shared" ca="1" si="4"/>
        <v>44710</v>
      </c>
      <c r="N12" s="7">
        <v>0.189</v>
      </c>
      <c r="P12">
        <v>5500</v>
      </c>
      <c r="Q12" s="6">
        <f t="shared" si="2"/>
        <v>82.5</v>
      </c>
    </row>
    <row r="13" spans="1:20" ht="12.75" customHeight="1" x14ac:dyDescent="0.3">
      <c r="A13" s="19" t="s">
        <v>21</v>
      </c>
      <c r="B13" s="21">
        <f>B1+(B2+B3)*B5</f>
        <v>1531000</v>
      </c>
      <c r="E13">
        <v>12</v>
      </c>
      <c r="F13" s="3">
        <f t="shared" si="5"/>
        <v>1570630.7897760202</v>
      </c>
      <c r="G13" s="3">
        <f t="shared" si="1"/>
        <v>1639225</v>
      </c>
      <c r="H13" s="3">
        <f t="shared" si="0"/>
        <v>68594.210223979782</v>
      </c>
      <c r="I13" s="3">
        <f t="shared" si="3"/>
        <v>209350</v>
      </c>
      <c r="J13" s="4">
        <f t="shared" ca="1" si="4"/>
        <v>44711</v>
      </c>
      <c r="P13">
        <v>6100</v>
      </c>
      <c r="Q13" s="6">
        <f t="shared" si="2"/>
        <v>91.5</v>
      </c>
    </row>
    <row r="14" spans="1:20" x14ac:dyDescent="0.3">
      <c r="A14" s="19"/>
      <c r="B14" s="19"/>
      <c r="E14">
        <v>13</v>
      </c>
      <c r="F14" s="3">
        <f t="shared" si="5"/>
        <v>1655630.7897760202</v>
      </c>
      <c r="G14" s="3">
        <f t="shared" si="1"/>
        <v>1928500</v>
      </c>
      <c r="H14" s="3">
        <f t="shared" si="0"/>
        <v>272869.21022397978</v>
      </c>
      <c r="I14" s="3">
        <f t="shared" si="3"/>
        <v>204275</v>
      </c>
      <c r="J14" s="4">
        <f t="shared" ca="1" si="4"/>
        <v>44712</v>
      </c>
      <c r="P14">
        <v>5800</v>
      </c>
      <c r="Q14" s="6">
        <f t="shared" si="2"/>
        <v>87</v>
      </c>
    </row>
    <row r="15" spans="1:20" x14ac:dyDescent="0.3">
      <c r="E15">
        <v>14</v>
      </c>
      <c r="F15" s="3">
        <f t="shared" si="5"/>
        <v>1740630.7897760202</v>
      </c>
      <c r="G15" s="3">
        <f t="shared" si="1"/>
        <v>2070600</v>
      </c>
      <c r="H15" s="3">
        <f t="shared" si="0"/>
        <v>329969.21022397978</v>
      </c>
      <c r="I15" s="3">
        <f t="shared" si="3"/>
        <v>57100</v>
      </c>
      <c r="J15" s="4">
        <f t="shared" ca="1" si="4"/>
        <v>44713</v>
      </c>
      <c r="P15">
        <v>5700</v>
      </c>
      <c r="Q15" s="6">
        <f t="shared" si="2"/>
        <v>85.5</v>
      </c>
    </row>
    <row r="16" spans="1:20" ht="12.75" customHeight="1" x14ac:dyDescent="0.3">
      <c r="E16">
        <v>15</v>
      </c>
      <c r="F16" s="3">
        <f t="shared" si="5"/>
        <v>1825630.7897760202</v>
      </c>
      <c r="G16" s="3">
        <f t="shared" si="1"/>
        <v>2187325</v>
      </c>
      <c r="H16" s="3">
        <f t="shared" si="0"/>
        <v>361694.21022397978</v>
      </c>
      <c r="I16" s="3">
        <f t="shared" si="3"/>
        <v>31725</v>
      </c>
      <c r="J16" s="4">
        <f t="shared" ca="1" si="4"/>
        <v>44714</v>
      </c>
      <c r="N16" s="19" t="s">
        <v>22</v>
      </c>
      <c r="P16">
        <v>2800</v>
      </c>
      <c r="Q16" s="6">
        <f t="shared" si="2"/>
        <v>42</v>
      </c>
    </row>
    <row r="17" spans="1:17" x14ac:dyDescent="0.3">
      <c r="A17" t="s">
        <v>23</v>
      </c>
      <c r="B17" s="8">
        <v>0.1</v>
      </c>
      <c r="E17">
        <v>16</v>
      </c>
      <c r="F17" s="3">
        <f t="shared" si="5"/>
        <v>1910630.7897760202</v>
      </c>
      <c r="G17" s="3">
        <f t="shared" si="1"/>
        <v>2420775</v>
      </c>
      <c r="H17" s="3">
        <f t="shared" si="0"/>
        <v>510144.21022397978</v>
      </c>
      <c r="I17" s="3">
        <f t="shared" si="3"/>
        <v>148450</v>
      </c>
      <c r="J17" s="4">
        <f t="shared" ca="1" si="4"/>
        <v>44715</v>
      </c>
      <c r="N17" s="19"/>
      <c r="P17">
        <v>2300</v>
      </c>
      <c r="Q17" s="6">
        <f t="shared" si="2"/>
        <v>34.5</v>
      </c>
    </row>
    <row r="18" spans="1:17" x14ac:dyDescent="0.3">
      <c r="A18" t="s">
        <v>24</v>
      </c>
      <c r="B18" s="3">
        <f>H61-B17*H61</f>
        <v>8050562.2892015819</v>
      </c>
      <c r="E18">
        <v>17</v>
      </c>
      <c r="F18" s="3">
        <f t="shared" si="5"/>
        <v>1995630.7897760202</v>
      </c>
      <c r="G18" s="3">
        <f t="shared" si="1"/>
        <v>2679600</v>
      </c>
      <c r="H18" s="3">
        <f t="shared" si="0"/>
        <v>683969.21022397978</v>
      </c>
      <c r="I18" s="3">
        <f t="shared" si="3"/>
        <v>173825</v>
      </c>
      <c r="J18" s="4">
        <f t="shared" ca="1" si="4"/>
        <v>44716</v>
      </c>
      <c r="N18" s="3">
        <f>N7*N3</f>
        <v>2377847.3865612112</v>
      </c>
      <c r="P18">
        <v>4600</v>
      </c>
      <c r="Q18" s="6">
        <f t="shared" si="2"/>
        <v>69</v>
      </c>
    </row>
    <row r="19" spans="1:17" x14ac:dyDescent="0.3">
      <c r="A19" t="s">
        <v>25</v>
      </c>
      <c r="B19" s="9">
        <f>B13*POWER((1+B17),B33)</f>
        <v>2465690.810000001</v>
      </c>
      <c r="E19">
        <v>18</v>
      </c>
      <c r="F19" s="3">
        <f t="shared" si="5"/>
        <v>2080630.7897760202</v>
      </c>
      <c r="G19" s="3">
        <f t="shared" si="1"/>
        <v>2984100</v>
      </c>
      <c r="H19" s="3">
        <f t="shared" si="0"/>
        <v>903469.21022397978</v>
      </c>
      <c r="I19" s="3">
        <f t="shared" si="3"/>
        <v>219500</v>
      </c>
      <c r="J19" s="4">
        <f t="shared" ca="1" si="4"/>
        <v>44717</v>
      </c>
      <c r="P19">
        <v>5100</v>
      </c>
      <c r="Q19" s="6">
        <f t="shared" si="2"/>
        <v>76.5</v>
      </c>
    </row>
    <row r="20" spans="1:17" x14ac:dyDescent="0.3">
      <c r="A20" t="s">
        <v>26</v>
      </c>
      <c r="B20" s="10">
        <f>(H61/B32)/B13</f>
        <v>3.6278146367524386</v>
      </c>
      <c r="E20">
        <v>19</v>
      </c>
      <c r="F20" s="3">
        <f t="shared" si="5"/>
        <v>2165630.7897760202</v>
      </c>
      <c r="G20" s="3">
        <f t="shared" si="1"/>
        <v>3288600</v>
      </c>
      <c r="H20" s="3">
        <f t="shared" si="0"/>
        <v>1122969.2102239798</v>
      </c>
      <c r="I20" s="3">
        <f t="shared" si="3"/>
        <v>219500</v>
      </c>
      <c r="J20" s="4">
        <f t="shared" ca="1" si="4"/>
        <v>44718</v>
      </c>
      <c r="P20">
        <v>6000</v>
      </c>
      <c r="Q20" s="6">
        <f t="shared" si="2"/>
        <v>90</v>
      </c>
    </row>
    <row r="21" spans="1:17" x14ac:dyDescent="0.3">
      <c r="A21" t="s">
        <v>27</v>
      </c>
      <c r="B21" s="7" t="e">
        <f ca="1">com.sun.star.sheet.addin.Analysis.getXirr(I2:I61,J2:J61)/12</f>
        <v>#NAME?</v>
      </c>
      <c r="E21">
        <v>20</v>
      </c>
      <c r="F21" s="3">
        <f t="shared" si="5"/>
        <v>2250630.7897760202</v>
      </c>
      <c r="G21" s="3">
        <f t="shared" si="1"/>
        <v>3567725</v>
      </c>
      <c r="H21" s="3">
        <f t="shared" si="0"/>
        <v>1317094.2102239798</v>
      </c>
      <c r="I21" s="3">
        <f t="shared" si="3"/>
        <v>194125</v>
      </c>
      <c r="J21" s="4">
        <f t="shared" ca="1" si="4"/>
        <v>44719</v>
      </c>
      <c r="P21">
        <v>6000</v>
      </c>
      <c r="Q21" s="6">
        <f t="shared" si="2"/>
        <v>90</v>
      </c>
    </row>
    <row r="22" spans="1:17" x14ac:dyDescent="0.3">
      <c r="A22" t="s">
        <v>28</v>
      </c>
      <c r="B22">
        <v>1</v>
      </c>
      <c r="C22" t="s">
        <v>29</v>
      </c>
      <c r="E22">
        <v>21</v>
      </c>
      <c r="F22" s="3">
        <f t="shared" si="5"/>
        <v>2335630.7897760202</v>
      </c>
      <c r="G22" s="3">
        <f t="shared" si="1"/>
        <v>3801175</v>
      </c>
      <c r="H22" s="3">
        <f t="shared" si="0"/>
        <v>1465544.2102239798</v>
      </c>
      <c r="I22" s="3">
        <f t="shared" si="3"/>
        <v>148450</v>
      </c>
      <c r="J22" s="4">
        <f t="shared" ca="1" si="4"/>
        <v>44720</v>
      </c>
      <c r="N22" s="1" t="s">
        <v>30</v>
      </c>
      <c r="P22">
        <v>5500</v>
      </c>
      <c r="Q22" s="6">
        <f t="shared" si="2"/>
        <v>82.5</v>
      </c>
    </row>
    <row r="23" spans="1:17" x14ac:dyDescent="0.3">
      <c r="A23" t="s">
        <v>31</v>
      </c>
      <c r="B23" s="10">
        <f>SUM(I5:I16)/B13</f>
        <v>0.6742815153494448</v>
      </c>
      <c r="E23">
        <v>22</v>
      </c>
      <c r="F23" s="3">
        <f t="shared" si="5"/>
        <v>2420630.7897760202</v>
      </c>
      <c r="G23" s="3">
        <f t="shared" si="1"/>
        <v>4060000</v>
      </c>
      <c r="H23" s="3">
        <f t="shared" si="0"/>
        <v>1639369.2102239798</v>
      </c>
      <c r="I23" s="3">
        <f t="shared" si="3"/>
        <v>173825</v>
      </c>
      <c r="J23" s="4">
        <f t="shared" ca="1" si="4"/>
        <v>44721</v>
      </c>
      <c r="N23" s="10">
        <f>N18/B13</f>
        <v>1.5531334987336454</v>
      </c>
      <c r="P23">
        <v>4600</v>
      </c>
      <c r="Q23" s="6">
        <f t="shared" si="2"/>
        <v>69</v>
      </c>
    </row>
    <row r="24" spans="1:17" x14ac:dyDescent="0.3">
      <c r="E24">
        <v>23</v>
      </c>
      <c r="F24" s="3">
        <f t="shared" si="5"/>
        <v>2505630.7897760202</v>
      </c>
      <c r="G24" s="3">
        <f t="shared" si="1"/>
        <v>4364500</v>
      </c>
      <c r="H24" s="3">
        <f t="shared" si="0"/>
        <v>1858869.2102239798</v>
      </c>
      <c r="I24" s="3">
        <f t="shared" si="3"/>
        <v>219500</v>
      </c>
      <c r="J24" s="4">
        <f t="shared" ca="1" si="4"/>
        <v>44722</v>
      </c>
      <c r="P24">
        <v>5100</v>
      </c>
      <c r="Q24" s="6">
        <f t="shared" si="2"/>
        <v>76.5</v>
      </c>
    </row>
    <row r="25" spans="1:17" x14ac:dyDescent="0.3">
      <c r="E25">
        <v>24</v>
      </c>
      <c r="F25" s="3">
        <f t="shared" si="5"/>
        <v>2590630.7897760202</v>
      </c>
      <c r="G25" s="3">
        <f t="shared" si="1"/>
        <v>4669000</v>
      </c>
      <c r="H25" s="3">
        <f t="shared" si="0"/>
        <v>2078369.2102239798</v>
      </c>
      <c r="I25" s="3">
        <f t="shared" si="3"/>
        <v>219500</v>
      </c>
      <c r="J25" s="4">
        <f t="shared" ca="1" si="4"/>
        <v>44723</v>
      </c>
      <c r="P25">
        <v>6000</v>
      </c>
      <c r="Q25" s="6">
        <f t="shared" si="2"/>
        <v>90</v>
      </c>
    </row>
    <row r="26" spans="1:17" x14ac:dyDescent="0.3">
      <c r="E26">
        <v>25</v>
      </c>
      <c r="F26" s="3">
        <f t="shared" si="5"/>
        <v>2675630.7897760202</v>
      </c>
      <c r="G26" s="3">
        <f t="shared" si="1"/>
        <v>4948125</v>
      </c>
      <c r="H26" s="3">
        <f t="shared" si="0"/>
        <v>2272494.2102239798</v>
      </c>
      <c r="I26" s="3">
        <f t="shared" si="3"/>
        <v>194125</v>
      </c>
      <c r="J26" s="4">
        <f t="shared" ca="1" si="4"/>
        <v>44724</v>
      </c>
      <c r="P26">
        <v>6000</v>
      </c>
      <c r="Q26" s="6">
        <f t="shared" si="2"/>
        <v>90</v>
      </c>
    </row>
    <row r="27" spans="1:17" x14ac:dyDescent="0.3">
      <c r="E27">
        <v>26</v>
      </c>
      <c r="F27" s="3">
        <f t="shared" si="5"/>
        <v>2760630.7897760202</v>
      </c>
      <c r="G27" s="3">
        <f t="shared" si="1"/>
        <v>5257700</v>
      </c>
      <c r="H27" s="3">
        <f t="shared" si="0"/>
        <v>2497069.2102239798</v>
      </c>
      <c r="I27" s="3">
        <f t="shared" si="3"/>
        <v>224575</v>
      </c>
      <c r="J27" s="4">
        <f t="shared" ca="1" si="4"/>
        <v>44725</v>
      </c>
      <c r="P27">
        <v>5500</v>
      </c>
      <c r="Q27" s="6">
        <f t="shared" si="2"/>
        <v>82.5</v>
      </c>
    </row>
    <row r="28" spans="1:17" x14ac:dyDescent="0.3">
      <c r="E28">
        <v>27</v>
      </c>
      <c r="F28" s="3">
        <f t="shared" si="5"/>
        <v>2845630.7897760202</v>
      </c>
      <c r="G28" s="3">
        <f t="shared" si="1"/>
        <v>5511450</v>
      </c>
      <c r="H28" s="3">
        <f t="shared" si="0"/>
        <v>2665819.2102239798</v>
      </c>
      <c r="I28" s="3">
        <f t="shared" si="3"/>
        <v>168750</v>
      </c>
      <c r="J28" s="4">
        <f t="shared" ca="1" si="4"/>
        <v>44726</v>
      </c>
      <c r="P28">
        <v>6100</v>
      </c>
      <c r="Q28" s="6">
        <f t="shared" si="2"/>
        <v>91.5</v>
      </c>
    </row>
    <row r="29" spans="1:17" x14ac:dyDescent="0.3">
      <c r="E29">
        <v>28</v>
      </c>
      <c r="F29" s="3">
        <f t="shared" si="5"/>
        <v>2930630.7897760202</v>
      </c>
      <c r="G29" s="3">
        <f t="shared" si="1"/>
        <v>5744900</v>
      </c>
      <c r="H29" s="3">
        <f t="shared" si="0"/>
        <v>2814269.2102239798</v>
      </c>
      <c r="I29" s="3">
        <f t="shared" si="3"/>
        <v>148450</v>
      </c>
      <c r="J29" s="4">
        <f t="shared" ca="1" si="4"/>
        <v>44727</v>
      </c>
      <c r="M29" t="s">
        <v>32</v>
      </c>
      <c r="N29" t="s">
        <v>33</v>
      </c>
      <c r="P29">
        <v>5000</v>
      </c>
      <c r="Q29" s="6">
        <f t="shared" si="2"/>
        <v>75</v>
      </c>
    </row>
    <row r="30" spans="1:17" x14ac:dyDescent="0.3">
      <c r="E30">
        <v>29</v>
      </c>
      <c r="F30" s="3">
        <f t="shared" si="5"/>
        <v>3015630.7897760202</v>
      </c>
      <c r="G30" s="3">
        <f t="shared" si="1"/>
        <v>6003725</v>
      </c>
      <c r="H30" s="3">
        <f t="shared" si="0"/>
        <v>2988094.2102239798</v>
      </c>
      <c r="I30" s="3">
        <f t="shared" si="3"/>
        <v>173825</v>
      </c>
      <c r="J30" s="4">
        <f t="shared" ca="1" si="4"/>
        <v>44728</v>
      </c>
      <c r="M30">
        <f>SUM(P3:P83)</f>
        <v>402500</v>
      </c>
      <c r="N30">
        <f>SUM(Q3:Q83)</f>
        <v>6037.5</v>
      </c>
      <c r="P30">
        <v>4600</v>
      </c>
      <c r="Q30" s="6">
        <f t="shared" si="2"/>
        <v>69</v>
      </c>
    </row>
    <row r="31" spans="1:17" x14ac:dyDescent="0.3">
      <c r="E31">
        <v>30</v>
      </c>
      <c r="F31" s="3">
        <f t="shared" si="5"/>
        <v>3100630.7897760202</v>
      </c>
      <c r="G31" s="3">
        <f t="shared" si="1"/>
        <v>6308225</v>
      </c>
      <c r="H31" s="3">
        <f t="shared" si="0"/>
        <v>3207594.2102239798</v>
      </c>
      <c r="I31" s="3">
        <f t="shared" si="3"/>
        <v>219500</v>
      </c>
      <c r="J31" s="4">
        <f t="shared" ca="1" si="4"/>
        <v>44729</v>
      </c>
      <c r="P31">
        <v>5100</v>
      </c>
      <c r="Q31" s="6">
        <f t="shared" si="2"/>
        <v>76.5</v>
      </c>
    </row>
    <row r="32" spans="1:17" x14ac:dyDescent="0.3">
      <c r="A32" t="s">
        <v>34</v>
      </c>
      <c r="B32">
        <f>POWER((1+B17),B33)</f>
        <v>1.6105100000000006</v>
      </c>
      <c r="E32">
        <v>31</v>
      </c>
      <c r="F32" s="3">
        <f t="shared" si="5"/>
        <v>3185630.7897760202</v>
      </c>
      <c r="G32" s="3">
        <f t="shared" si="1"/>
        <v>6612725</v>
      </c>
      <c r="H32" s="3">
        <f t="shared" si="0"/>
        <v>3427094.2102239798</v>
      </c>
      <c r="I32" s="3">
        <f t="shared" si="3"/>
        <v>219500</v>
      </c>
      <c r="J32" s="4">
        <f t="shared" ca="1" si="4"/>
        <v>44730</v>
      </c>
      <c r="P32">
        <v>6000</v>
      </c>
      <c r="Q32" s="6">
        <f t="shared" si="2"/>
        <v>90</v>
      </c>
    </row>
    <row r="33" spans="1:17" x14ac:dyDescent="0.3">
      <c r="A33" t="s">
        <v>35</v>
      </c>
      <c r="B33">
        <f>N7/12</f>
        <v>5</v>
      </c>
      <c r="E33">
        <v>32</v>
      </c>
      <c r="F33" s="3">
        <f t="shared" si="5"/>
        <v>3270630.7897760202</v>
      </c>
      <c r="G33" s="3">
        <f t="shared" si="1"/>
        <v>6891850</v>
      </c>
      <c r="H33" s="3">
        <f t="shared" si="0"/>
        <v>3621219.2102239798</v>
      </c>
      <c r="I33" s="3">
        <f t="shared" si="3"/>
        <v>194125</v>
      </c>
      <c r="J33" s="4">
        <f t="shared" ca="1" si="4"/>
        <v>44732</v>
      </c>
      <c r="P33">
        <v>6000</v>
      </c>
      <c r="Q33" s="6">
        <f t="shared" si="2"/>
        <v>90</v>
      </c>
    </row>
    <row r="34" spans="1:17" x14ac:dyDescent="0.3">
      <c r="E34">
        <v>33</v>
      </c>
      <c r="F34" s="3">
        <f t="shared" si="5"/>
        <v>3355630.7897760202</v>
      </c>
      <c r="G34" s="3">
        <f t="shared" si="1"/>
        <v>7201425</v>
      </c>
      <c r="H34" s="3">
        <f t="shared" ref="H34:H61" si="6">G34-F34</f>
        <v>3845794.2102239798</v>
      </c>
      <c r="I34" s="3">
        <f t="shared" si="3"/>
        <v>224575</v>
      </c>
      <c r="J34" s="4">
        <f t="shared" ca="1" si="4"/>
        <v>44734</v>
      </c>
      <c r="P34">
        <v>5500</v>
      </c>
      <c r="Q34" s="6">
        <f t="shared" si="2"/>
        <v>82.5</v>
      </c>
    </row>
    <row r="35" spans="1:17" x14ac:dyDescent="0.3">
      <c r="E35">
        <v>34</v>
      </c>
      <c r="F35" s="3">
        <f t="shared" si="5"/>
        <v>3440630.7897760202</v>
      </c>
      <c r="G35" s="3">
        <f t="shared" ref="G35:G61" si="7">P36*$S$3+Q36*$T$3+G34</f>
        <v>7455175</v>
      </c>
      <c r="H35" s="3">
        <f t="shared" si="6"/>
        <v>4014544.2102239798</v>
      </c>
      <c r="I35" s="3">
        <f t="shared" si="3"/>
        <v>168750</v>
      </c>
      <c r="J35" s="4">
        <f t="shared" ca="1" si="4"/>
        <v>44736</v>
      </c>
      <c r="P35">
        <v>6100</v>
      </c>
      <c r="Q35" s="6">
        <f t="shared" ref="Q35:Q66" si="8">P35*0.015</f>
        <v>91.5</v>
      </c>
    </row>
    <row r="36" spans="1:17" x14ac:dyDescent="0.3">
      <c r="E36">
        <v>35</v>
      </c>
      <c r="F36" s="3">
        <f t="shared" si="5"/>
        <v>3525630.7897760202</v>
      </c>
      <c r="G36" s="3">
        <f t="shared" si="7"/>
        <v>7688625</v>
      </c>
      <c r="H36" s="3">
        <f t="shared" si="6"/>
        <v>4162994.2102239798</v>
      </c>
      <c r="I36" s="3">
        <f t="shared" ref="I36:I61" si="9">H36-H35</f>
        <v>148450</v>
      </c>
      <c r="J36" s="4">
        <f t="shared" ca="1" si="4"/>
        <v>44738</v>
      </c>
      <c r="P36">
        <v>5000</v>
      </c>
      <c r="Q36" s="6">
        <f t="shared" si="8"/>
        <v>75</v>
      </c>
    </row>
    <row r="37" spans="1:17" x14ac:dyDescent="0.3">
      <c r="E37">
        <v>36</v>
      </c>
      <c r="F37" s="3">
        <f t="shared" ref="F37:F61" si="10">$B$1+E37*($B$3+$B$2)+$N$3</f>
        <v>3610630.7897760202</v>
      </c>
      <c r="G37" s="3">
        <f t="shared" si="7"/>
        <v>7947450</v>
      </c>
      <c r="H37" s="3">
        <f t="shared" si="6"/>
        <v>4336819.2102239802</v>
      </c>
      <c r="I37" s="3">
        <f t="shared" si="9"/>
        <v>173825.00000000047</v>
      </c>
      <c r="J37" s="4">
        <f t="shared" ca="1" si="4"/>
        <v>44740</v>
      </c>
      <c r="P37">
        <v>4600</v>
      </c>
      <c r="Q37" s="6">
        <f t="shared" si="8"/>
        <v>69</v>
      </c>
    </row>
    <row r="38" spans="1:17" x14ac:dyDescent="0.3">
      <c r="E38">
        <v>37</v>
      </c>
      <c r="F38" s="3">
        <f t="shared" si="10"/>
        <v>3695630.7897760202</v>
      </c>
      <c r="G38" s="3">
        <f t="shared" si="7"/>
        <v>8251950</v>
      </c>
      <c r="H38" s="3">
        <f t="shared" si="6"/>
        <v>4556319.2102239802</v>
      </c>
      <c r="I38" s="3">
        <f t="shared" si="9"/>
        <v>219500</v>
      </c>
      <c r="J38" s="4">
        <f t="shared" ca="1" si="4"/>
        <v>44742</v>
      </c>
      <c r="P38">
        <v>5100</v>
      </c>
      <c r="Q38" s="6">
        <f t="shared" si="8"/>
        <v>76.5</v>
      </c>
    </row>
    <row r="39" spans="1:17" x14ac:dyDescent="0.3">
      <c r="E39">
        <v>38</v>
      </c>
      <c r="F39" s="3">
        <f t="shared" si="10"/>
        <v>3780630.7897760202</v>
      </c>
      <c r="G39" s="3">
        <f t="shared" si="7"/>
        <v>8556450</v>
      </c>
      <c r="H39" s="3">
        <f t="shared" si="6"/>
        <v>4775819.2102239802</v>
      </c>
      <c r="I39" s="3">
        <f t="shared" si="9"/>
        <v>219500</v>
      </c>
      <c r="J39" s="4">
        <f t="shared" ca="1" si="4"/>
        <v>44744</v>
      </c>
      <c r="P39">
        <v>6000</v>
      </c>
      <c r="Q39" s="6">
        <f t="shared" si="8"/>
        <v>90</v>
      </c>
    </row>
    <row r="40" spans="1:17" x14ac:dyDescent="0.3">
      <c r="E40">
        <v>39</v>
      </c>
      <c r="F40" s="3">
        <f t="shared" si="10"/>
        <v>3865630.7897760202</v>
      </c>
      <c r="G40" s="3">
        <f t="shared" si="7"/>
        <v>8835575</v>
      </c>
      <c r="H40" s="3">
        <f t="shared" si="6"/>
        <v>4969944.2102239802</v>
      </c>
      <c r="I40" s="3">
        <f t="shared" si="9"/>
        <v>194125</v>
      </c>
      <c r="J40" s="4">
        <f t="shared" ca="1" si="4"/>
        <v>44746</v>
      </c>
      <c r="P40">
        <v>6000</v>
      </c>
      <c r="Q40" s="6">
        <f t="shared" si="8"/>
        <v>90</v>
      </c>
    </row>
    <row r="41" spans="1:17" x14ac:dyDescent="0.3">
      <c r="E41">
        <v>40</v>
      </c>
      <c r="F41" s="3">
        <f t="shared" si="10"/>
        <v>3950630.7897760202</v>
      </c>
      <c r="G41" s="3">
        <f t="shared" si="7"/>
        <v>9069025</v>
      </c>
      <c r="H41" s="3">
        <f t="shared" si="6"/>
        <v>5118394.2102239802</v>
      </c>
      <c r="I41" s="3">
        <f t="shared" si="9"/>
        <v>148450</v>
      </c>
      <c r="J41" s="4">
        <f t="shared" ca="1" si="4"/>
        <v>44748</v>
      </c>
      <c r="P41">
        <v>5500</v>
      </c>
      <c r="Q41" s="6">
        <f t="shared" si="8"/>
        <v>82.5</v>
      </c>
    </row>
    <row r="42" spans="1:17" x14ac:dyDescent="0.3">
      <c r="E42">
        <v>41</v>
      </c>
      <c r="F42" s="3">
        <f t="shared" si="10"/>
        <v>4035630.7897760202</v>
      </c>
      <c r="G42" s="3">
        <f t="shared" si="7"/>
        <v>9327850</v>
      </c>
      <c r="H42" s="3">
        <f t="shared" si="6"/>
        <v>5292219.2102239802</v>
      </c>
      <c r="I42" s="3">
        <f t="shared" si="9"/>
        <v>173825</v>
      </c>
      <c r="J42" s="4">
        <f t="shared" ca="1" si="4"/>
        <v>44750</v>
      </c>
      <c r="P42">
        <v>4600</v>
      </c>
      <c r="Q42" s="6">
        <f t="shared" si="8"/>
        <v>69</v>
      </c>
    </row>
    <row r="43" spans="1:17" x14ac:dyDescent="0.3">
      <c r="E43">
        <v>42</v>
      </c>
      <c r="F43" s="3">
        <f t="shared" si="10"/>
        <v>4120630.7897760202</v>
      </c>
      <c r="G43" s="3">
        <f t="shared" si="7"/>
        <v>9632350</v>
      </c>
      <c r="H43" s="3">
        <f t="shared" si="6"/>
        <v>5511719.2102239802</v>
      </c>
      <c r="I43" s="3">
        <f t="shared" si="9"/>
        <v>219500</v>
      </c>
      <c r="J43" s="4">
        <f t="shared" ca="1" si="4"/>
        <v>44752</v>
      </c>
      <c r="P43">
        <v>5100</v>
      </c>
      <c r="Q43" s="6">
        <f t="shared" si="8"/>
        <v>76.5</v>
      </c>
    </row>
    <row r="44" spans="1:17" x14ac:dyDescent="0.3">
      <c r="E44">
        <v>43</v>
      </c>
      <c r="F44" s="3">
        <f t="shared" si="10"/>
        <v>4205630.7897760198</v>
      </c>
      <c r="G44" s="3">
        <f t="shared" si="7"/>
        <v>9865800</v>
      </c>
      <c r="H44" s="3">
        <f t="shared" si="6"/>
        <v>5660169.2102239802</v>
      </c>
      <c r="I44" s="3">
        <f t="shared" si="9"/>
        <v>148450</v>
      </c>
      <c r="J44" s="4">
        <f t="shared" ca="1" si="4"/>
        <v>44754</v>
      </c>
      <c r="P44">
        <v>6000</v>
      </c>
      <c r="Q44" s="6">
        <f t="shared" si="8"/>
        <v>90</v>
      </c>
    </row>
    <row r="45" spans="1:17" x14ac:dyDescent="0.3">
      <c r="E45">
        <v>44</v>
      </c>
      <c r="F45" s="3">
        <f t="shared" si="10"/>
        <v>4290630.7897760198</v>
      </c>
      <c r="G45" s="3">
        <f t="shared" si="7"/>
        <v>10124625</v>
      </c>
      <c r="H45" s="3">
        <f t="shared" si="6"/>
        <v>5833994.2102239802</v>
      </c>
      <c r="I45" s="3">
        <f t="shared" si="9"/>
        <v>173825</v>
      </c>
      <c r="J45" s="4">
        <f t="shared" ca="1" si="4"/>
        <v>44756</v>
      </c>
      <c r="P45">
        <v>4600</v>
      </c>
      <c r="Q45" s="6">
        <f t="shared" si="8"/>
        <v>69</v>
      </c>
    </row>
    <row r="46" spans="1:17" x14ac:dyDescent="0.3">
      <c r="E46">
        <v>45</v>
      </c>
      <c r="F46" s="3">
        <f t="shared" si="10"/>
        <v>4375630.7897760198</v>
      </c>
      <c r="G46" s="3">
        <f t="shared" si="7"/>
        <v>10429125</v>
      </c>
      <c r="H46" s="3">
        <f t="shared" si="6"/>
        <v>6053494.2102239802</v>
      </c>
      <c r="I46" s="3">
        <f t="shared" si="9"/>
        <v>219500</v>
      </c>
      <c r="J46" s="4">
        <f t="shared" ca="1" si="4"/>
        <v>44758</v>
      </c>
      <c r="P46">
        <v>5100</v>
      </c>
      <c r="Q46" s="6">
        <f t="shared" si="8"/>
        <v>76.5</v>
      </c>
    </row>
    <row r="47" spans="1:17" x14ac:dyDescent="0.3">
      <c r="E47">
        <v>46</v>
      </c>
      <c r="F47" s="3">
        <f t="shared" si="10"/>
        <v>4460630.7897760198</v>
      </c>
      <c r="G47" s="3">
        <f t="shared" si="7"/>
        <v>10733625</v>
      </c>
      <c r="H47" s="3">
        <f t="shared" si="6"/>
        <v>6272994.2102239802</v>
      </c>
      <c r="I47" s="3">
        <f t="shared" si="9"/>
        <v>219500</v>
      </c>
      <c r="J47" s="4">
        <f t="shared" ca="1" si="4"/>
        <v>44760</v>
      </c>
      <c r="P47">
        <v>6000</v>
      </c>
      <c r="Q47" s="6">
        <f t="shared" si="8"/>
        <v>90</v>
      </c>
    </row>
    <row r="48" spans="1:17" x14ac:dyDescent="0.3">
      <c r="E48">
        <v>47</v>
      </c>
      <c r="F48" s="3">
        <f t="shared" si="10"/>
        <v>4545630.7897760198</v>
      </c>
      <c r="G48" s="3">
        <f t="shared" si="7"/>
        <v>11012750</v>
      </c>
      <c r="H48" s="3">
        <f t="shared" si="6"/>
        <v>6467119.2102239802</v>
      </c>
      <c r="I48" s="3">
        <f t="shared" si="9"/>
        <v>194125</v>
      </c>
      <c r="J48" s="4">
        <f t="shared" ca="1" si="4"/>
        <v>44762</v>
      </c>
      <c r="P48">
        <v>6000</v>
      </c>
      <c r="Q48" s="6">
        <f t="shared" si="8"/>
        <v>90</v>
      </c>
    </row>
    <row r="49" spans="2:17" x14ac:dyDescent="0.3">
      <c r="E49">
        <v>48</v>
      </c>
      <c r="F49" s="3">
        <f t="shared" si="10"/>
        <v>4630630.7897760198</v>
      </c>
      <c r="G49" s="3">
        <f t="shared" si="7"/>
        <v>11246200</v>
      </c>
      <c r="H49" s="3">
        <f t="shared" si="6"/>
        <v>6615569.2102239802</v>
      </c>
      <c r="I49" s="3">
        <f t="shared" si="9"/>
        <v>148450</v>
      </c>
      <c r="J49" s="4">
        <f t="shared" ca="1" si="4"/>
        <v>44764</v>
      </c>
      <c r="P49">
        <v>5500</v>
      </c>
      <c r="Q49" s="6">
        <f t="shared" si="8"/>
        <v>82.5</v>
      </c>
    </row>
    <row r="50" spans="2:17" x14ac:dyDescent="0.3">
      <c r="E50">
        <v>49</v>
      </c>
      <c r="F50" s="3">
        <f t="shared" si="10"/>
        <v>4715630.7897760198</v>
      </c>
      <c r="G50" s="3">
        <f t="shared" si="7"/>
        <v>11505025</v>
      </c>
      <c r="H50" s="3">
        <f t="shared" si="6"/>
        <v>6789394.2102239802</v>
      </c>
      <c r="I50" s="3">
        <f t="shared" si="9"/>
        <v>173825</v>
      </c>
      <c r="J50" s="4">
        <f t="shared" ca="1" si="4"/>
        <v>44766</v>
      </c>
      <c r="P50">
        <v>4600</v>
      </c>
      <c r="Q50" s="6">
        <f t="shared" si="8"/>
        <v>69</v>
      </c>
    </row>
    <row r="51" spans="2:17" x14ac:dyDescent="0.3">
      <c r="E51">
        <v>50</v>
      </c>
      <c r="F51" s="3">
        <f t="shared" si="10"/>
        <v>4800630.7897760198</v>
      </c>
      <c r="G51" s="3">
        <f t="shared" si="7"/>
        <v>11809525</v>
      </c>
      <c r="H51" s="3">
        <f t="shared" si="6"/>
        <v>7008894.2102239802</v>
      </c>
      <c r="I51" s="3">
        <f t="shared" si="9"/>
        <v>219500</v>
      </c>
      <c r="J51" s="4">
        <f t="shared" ca="1" si="4"/>
        <v>44768</v>
      </c>
      <c r="P51">
        <v>5100</v>
      </c>
      <c r="Q51" s="6">
        <f t="shared" si="8"/>
        <v>76.5</v>
      </c>
    </row>
    <row r="52" spans="2:17" x14ac:dyDescent="0.3">
      <c r="E52">
        <v>51</v>
      </c>
      <c r="F52" s="3">
        <f t="shared" si="10"/>
        <v>4885630.7897760198</v>
      </c>
      <c r="G52" s="3">
        <f t="shared" si="7"/>
        <v>12114025</v>
      </c>
      <c r="H52" s="3">
        <f t="shared" si="6"/>
        <v>7228394.2102239802</v>
      </c>
      <c r="I52" s="3">
        <f t="shared" si="9"/>
        <v>219500</v>
      </c>
      <c r="J52" s="4">
        <f t="shared" ca="1" si="4"/>
        <v>44770</v>
      </c>
      <c r="P52">
        <v>6000</v>
      </c>
      <c r="Q52" s="6">
        <f t="shared" si="8"/>
        <v>90</v>
      </c>
    </row>
    <row r="53" spans="2:17" x14ac:dyDescent="0.3">
      <c r="E53">
        <v>52</v>
      </c>
      <c r="F53" s="3">
        <f t="shared" si="10"/>
        <v>4970630.7897760198</v>
      </c>
      <c r="G53" s="3">
        <f t="shared" si="7"/>
        <v>12393150</v>
      </c>
      <c r="H53" s="3">
        <f t="shared" si="6"/>
        <v>7422519.2102239802</v>
      </c>
      <c r="I53" s="3">
        <f t="shared" si="9"/>
        <v>194125</v>
      </c>
      <c r="J53" s="4">
        <f t="shared" ca="1" si="4"/>
        <v>44772</v>
      </c>
      <c r="P53">
        <v>6000</v>
      </c>
      <c r="Q53" s="6">
        <f t="shared" si="8"/>
        <v>90</v>
      </c>
    </row>
    <row r="54" spans="2:17" x14ac:dyDescent="0.3">
      <c r="E54">
        <v>53</v>
      </c>
      <c r="F54" s="3">
        <f t="shared" si="10"/>
        <v>5055630.7897760198</v>
      </c>
      <c r="G54" s="3">
        <f t="shared" si="7"/>
        <v>12626600</v>
      </c>
      <c r="H54" s="3">
        <f t="shared" si="6"/>
        <v>7570969.2102239802</v>
      </c>
      <c r="I54" s="3">
        <f t="shared" si="9"/>
        <v>148450</v>
      </c>
      <c r="J54" s="4">
        <f t="shared" ca="1" si="4"/>
        <v>44774</v>
      </c>
      <c r="P54">
        <v>5500</v>
      </c>
      <c r="Q54" s="6">
        <f t="shared" si="8"/>
        <v>82.5</v>
      </c>
    </row>
    <row r="55" spans="2:17" x14ac:dyDescent="0.3">
      <c r="E55">
        <v>54</v>
      </c>
      <c r="F55" s="3">
        <f t="shared" si="10"/>
        <v>5140630.7897760198</v>
      </c>
      <c r="G55" s="3">
        <f t="shared" si="7"/>
        <v>12885425</v>
      </c>
      <c r="H55" s="3">
        <f t="shared" si="6"/>
        <v>7744794.2102239802</v>
      </c>
      <c r="I55" s="3">
        <f t="shared" si="9"/>
        <v>173825</v>
      </c>
      <c r="J55" s="4">
        <f t="shared" ca="1" si="4"/>
        <v>44776</v>
      </c>
      <c r="P55">
        <v>4600</v>
      </c>
      <c r="Q55" s="6">
        <f t="shared" si="8"/>
        <v>69</v>
      </c>
    </row>
    <row r="56" spans="2:17" x14ac:dyDescent="0.3">
      <c r="E56">
        <v>55</v>
      </c>
      <c r="F56" s="3">
        <f t="shared" si="10"/>
        <v>5225630.7897760198</v>
      </c>
      <c r="G56" s="3">
        <f t="shared" si="7"/>
        <v>13189925</v>
      </c>
      <c r="H56" s="3">
        <f t="shared" si="6"/>
        <v>7964294.2102239802</v>
      </c>
      <c r="I56" s="3">
        <f t="shared" si="9"/>
        <v>219500</v>
      </c>
      <c r="J56" s="4">
        <f t="shared" ca="1" si="4"/>
        <v>44778</v>
      </c>
      <c r="P56">
        <v>5100</v>
      </c>
      <c r="Q56" s="6">
        <f t="shared" si="8"/>
        <v>76.5</v>
      </c>
    </row>
    <row r="57" spans="2:17" x14ac:dyDescent="0.3">
      <c r="E57">
        <v>56</v>
      </c>
      <c r="F57" s="3">
        <f t="shared" si="10"/>
        <v>5310630.7897760198</v>
      </c>
      <c r="G57" s="3">
        <f t="shared" si="7"/>
        <v>13494425</v>
      </c>
      <c r="H57" s="3">
        <f t="shared" si="6"/>
        <v>8183794.2102239802</v>
      </c>
      <c r="I57" s="3">
        <f t="shared" si="9"/>
        <v>219500</v>
      </c>
      <c r="J57" s="4">
        <f t="shared" ca="1" si="4"/>
        <v>44780</v>
      </c>
      <c r="P57">
        <v>6000</v>
      </c>
      <c r="Q57" s="6">
        <f t="shared" si="8"/>
        <v>90</v>
      </c>
    </row>
    <row r="58" spans="2:17" x14ac:dyDescent="0.3">
      <c r="E58">
        <v>57</v>
      </c>
      <c r="F58" s="3">
        <f t="shared" si="10"/>
        <v>5395630.7897760198</v>
      </c>
      <c r="G58" s="3">
        <f t="shared" si="7"/>
        <v>13727875</v>
      </c>
      <c r="H58" s="3">
        <f t="shared" si="6"/>
        <v>8332244.2102239802</v>
      </c>
      <c r="I58" s="3">
        <f t="shared" si="9"/>
        <v>148450</v>
      </c>
      <c r="J58" s="4">
        <f t="shared" ca="1" si="4"/>
        <v>44782</v>
      </c>
      <c r="P58">
        <v>6000</v>
      </c>
      <c r="Q58" s="6">
        <f t="shared" si="8"/>
        <v>90</v>
      </c>
    </row>
    <row r="59" spans="2:17" x14ac:dyDescent="0.3">
      <c r="E59">
        <v>58</v>
      </c>
      <c r="F59" s="3">
        <f t="shared" si="10"/>
        <v>5480630.7897760198</v>
      </c>
      <c r="G59" s="3">
        <f t="shared" si="7"/>
        <v>13986700</v>
      </c>
      <c r="H59" s="3">
        <f t="shared" si="6"/>
        <v>8506069.2102239802</v>
      </c>
      <c r="I59" s="3">
        <f t="shared" si="9"/>
        <v>173825</v>
      </c>
      <c r="J59" s="4">
        <f t="shared" ca="1" si="4"/>
        <v>44784</v>
      </c>
      <c r="P59">
        <v>4600</v>
      </c>
      <c r="Q59" s="6">
        <f t="shared" si="8"/>
        <v>69</v>
      </c>
    </row>
    <row r="60" spans="2:17" x14ac:dyDescent="0.3">
      <c r="E60">
        <v>59</v>
      </c>
      <c r="F60" s="3">
        <f t="shared" si="10"/>
        <v>5565630.7897760198</v>
      </c>
      <c r="G60" s="3">
        <f t="shared" si="7"/>
        <v>14291200</v>
      </c>
      <c r="H60" s="3">
        <f t="shared" si="6"/>
        <v>8725569.2102239802</v>
      </c>
      <c r="I60" s="3">
        <f t="shared" si="9"/>
        <v>219500</v>
      </c>
      <c r="J60" s="4">
        <f t="shared" ca="1" si="4"/>
        <v>44786</v>
      </c>
      <c r="P60">
        <v>5100</v>
      </c>
      <c r="Q60" s="6">
        <f t="shared" si="8"/>
        <v>76.5</v>
      </c>
    </row>
    <row r="61" spans="2:17" x14ac:dyDescent="0.3">
      <c r="E61">
        <v>60</v>
      </c>
      <c r="F61" s="3">
        <f t="shared" si="10"/>
        <v>5650630.7897760198</v>
      </c>
      <c r="G61" s="3">
        <f t="shared" si="7"/>
        <v>14595700</v>
      </c>
      <c r="H61" s="3">
        <f t="shared" si="6"/>
        <v>8945069.2102239802</v>
      </c>
      <c r="I61" s="3">
        <f t="shared" si="9"/>
        <v>219500</v>
      </c>
      <c r="J61" s="4">
        <f ca="1">J60+MONTH(E61)</f>
        <v>44788</v>
      </c>
      <c r="P61">
        <v>6000</v>
      </c>
      <c r="Q61" s="6">
        <f t="shared" si="8"/>
        <v>90</v>
      </c>
    </row>
    <row r="62" spans="2:17" x14ac:dyDescent="0.3">
      <c r="F62" t="s">
        <v>2</v>
      </c>
      <c r="G62" t="s">
        <v>36</v>
      </c>
      <c r="H62" t="s">
        <v>37</v>
      </c>
      <c r="I62" t="s">
        <v>38</v>
      </c>
      <c r="J62" t="s">
        <v>39</v>
      </c>
      <c r="K62" t="s">
        <v>40</v>
      </c>
      <c r="P62">
        <v>6000</v>
      </c>
      <c r="Q62" s="6">
        <f t="shared" si="8"/>
        <v>90</v>
      </c>
    </row>
    <row r="63" spans="2:17" x14ac:dyDescent="0.3">
      <c r="B63">
        <v>1</v>
      </c>
      <c r="C63" s="9">
        <f>B13</f>
        <v>1531000</v>
      </c>
      <c r="F63">
        <v>1</v>
      </c>
      <c r="G63" s="9">
        <f>C63</f>
        <v>1531000</v>
      </c>
      <c r="H63" s="7">
        <f t="shared" ref="H63:H94" si="11">$N$12/12</f>
        <v>1.575E-2</v>
      </c>
      <c r="I63" s="3">
        <f t="shared" ref="I63:I94" si="12">$N$3</f>
        <v>39630.789776020189</v>
      </c>
      <c r="J63" s="11">
        <f t="shared" ref="J63:J94" si="13">(G63)*H63</f>
        <v>24113.25</v>
      </c>
      <c r="K63" s="11">
        <f t="shared" ref="K63:K94" si="14">G63-I63+J63</f>
        <v>1515482.4602239798</v>
      </c>
      <c r="P63">
        <v>5500</v>
      </c>
      <c r="Q63" s="6">
        <f t="shared" si="8"/>
        <v>82.5</v>
      </c>
    </row>
    <row r="64" spans="2:17" x14ac:dyDescent="0.3">
      <c r="B64">
        <v>2</v>
      </c>
      <c r="C64" s="11">
        <f t="shared" ref="C64:C95" si="15">$C$63+H2</f>
        <v>940369.21022397978</v>
      </c>
      <c r="F64">
        <v>2</v>
      </c>
      <c r="G64" s="11">
        <f t="shared" ref="G64:G95" si="16">K63</f>
        <v>1515482.4602239798</v>
      </c>
      <c r="H64" s="7">
        <f t="shared" si="11"/>
        <v>1.575E-2</v>
      </c>
      <c r="I64" s="3">
        <f t="shared" si="12"/>
        <v>39630.789776020189</v>
      </c>
      <c r="J64" s="11">
        <f t="shared" si="13"/>
        <v>23868.848748527682</v>
      </c>
      <c r="K64" s="11">
        <f t="shared" si="14"/>
        <v>1499720.5191964873</v>
      </c>
      <c r="P64">
        <v>4600</v>
      </c>
      <c r="Q64" s="6">
        <f t="shared" si="8"/>
        <v>69</v>
      </c>
    </row>
    <row r="65" spans="2:17" x14ac:dyDescent="0.3">
      <c r="B65">
        <v>3</v>
      </c>
      <c r="C65" s="11">
        <f t="shared" si="15"/>
        <v>900369.21022397978</v>
      </c>
      <c r="F65">
        <v>3</v>
      </c>
      <c r="G65" s="11">
        <f t="shared" si="16"/>
        <v>1499720.5191964873</v>
      </c>
      <c r="H65" s="7">
        <f t="shared" si="11"/>
        <v>1.575E-2</v>
      </c>
      <c r="I65" s="3">
        <f t="shared" si="12"/>
        <v>39630.789776020189</v>
      </c>
      <c r="J65" s="11">
        <f t="shared" si="13"/>
        <v>23620.598177344673</v>
      </c>
      <c r="K65" s="11">
        <f t="shared" si="14"/>
        <v>1483710.3275978118</v>
      </c>
      <c r="P65">
        <v>5100</v>
      </c>
      <c r="Q65" s="6">
        <f t="shared" si="8"/>
        <v>76.5</v>
      </c>
    </row>
    <row r="66" spans="2:17" x14ac:dyDescent="0.3">
      <c r="B66">
        <v>4</v>
      </c>
      <c r="C66" s="11">
        <f t="shared" si="15"/>
        <v>860369.21022397978</v>
      </c>
      <c r="F66">
        <v>4</v>
      </c>
      <c r="G66" s="11">
        <f t="shared" si="16"/>
        <v>1483710.3275978118</v>
      </c>
      <c r="H66" s="7">
        <f t="shared" si="11"/>
        <v>1.575E-2</v>
      </c>
      <c r="I66" s="3">
        <f t="shared" si="12"/>
        <v>39630.789776020189</v>
      </c>
      <c r="J66" s="11">
        <f t="shared" si="13"/>
        <v>23368.437659665535</v>
      </c>
      <c r="K66" s="11">
        <f t="shared" si="14"/>
        <v>1467447.9754814571</v>
      </c>
      <c r="P66">
        <v>6000</v>
      </c>
      <c r="Q66" s="6">
        <f t="shared" si="8"/>
        <v>90</v>
      </c>
    </row>
    <row r="67" spans="2:17" x14ac:dyDescent="0.3">
      <c r="B67">
        <v>5</v>
      </c>
      <c r="C67" s="11">
        <f t="shared" si="15"/>
        <v>645444.21022397978</v>
      </c>
      <c r="F67">
        <v>5</v>
      </c>
      <c r="G67" s="11">
        <f t="shared" si="16"/>
        <v>1467447.9754814571</v>
      </c>
      <c r="H67" s="7">
        <f t="shared" si="11"/>
        <v>1.575E-2</v>
      </c>
      <c r="I67" s="3">
        <f t="shared" si="12"/>
        <v>39630.789776020189</v>
      </c>
      <c r="J67" s="11">
        <f t="shared" si="13"/>
        <v>23112.305613832948</v>
      </c>
      <c r="K67" s="11">
        <f t="shared" si="14"/>
        <v>1450929.4913192699</v>
      </c>
      <c r="P67">
        <v>6000</v>
      </c>
      <c r="Q67" s="6">
        <f t="shared" ref="Q67:Q83" si="17">P67*0.015</f>
        <v>90</v>
      </c>
    </row>
    <row r="68" spans="2:17" x14ac:dyDescent="0.3">
      <c r="B68">
        <v>6</v>
      </c>
      <c r="C68" s="11">
        <f t="shared" si="15"/>
        <v>575669.21022397978</v>
      </c>
      <c r="F68">
        <v>6</v>
      </c>
      <c r="G68" s="11">
        <f t="shared" si="16"/>
        <v>1450929.4913192699</v>
      </c>
      <c r="H68" s="7">
        <f t="shared" si="11"/>
        <v>1.575E-2</v>
      </c>
      <c r="I68" s="3">
        <f t="shared" si="12"/>
        <v>39630.789776020189</v>
      </c>
      <c r="J68" s="11">
        <f t="shared" si="13"/>
        <v>22852.139488278499</v>
      </c>
      <c r="K68" s="11">
        <f t="shared" si="14"/>
        <v>1434150.8410315281</v>
      </c>
      <c r="P68">
        <v>4600</v>
      </c>
      <c r="Q68" s="6">
        <f t="shared" si="17"/>
        <v>69</v>
      </c>
    </row>
    <row r="69" spans="2:17" x14ac:dyDescent="0.3">
      <c r="B69">
        <v>7</v>
      </c>
      <c r="C69" s="11">
        <f t="shared" si="15"/>
        <v>566794.21022397978</v>
      </c>
      <c r="F69">
        <v>7</v>
      </c>
      <c r="G69" s="11">
        <f t="shared" si="16"/>
        <v>1434150.8410315281</v>
      </c>
      <c r="H69" s="7">
        <f t="shared" si="11"/>
        <v>1.575E-2</v>
      </c>
      <c r="I69" s="3">
        <f t="shared" si="12"/>
        <v>39630.789776020189</v>
      </c>
      <c r="J69" s="11">
        <f t="shared" si="13"/>
        <v>22587.875746246569</v>
      </c>
      <c r="K69" s="11">
        <f t="shared" si="14"/>
        <v>1417107.9270017545</v>
      </c>
      <c r="P69">
        <v>5100</v>
      </c>
      <c r="Q69" s="6">
        <f t="shared" si="17"/>
        <v>76.5</v>
      </c>
    </row>
    <row r="70" spans="2:17" x14ac:dyDescent="0.3">
      <c r="B70">
        <v>8</v>
      </c>
      <c r="C70" s="11">
        <f t="shared" si="15"/>
        <v>583294.21022397978</v>
      </c>
      <c r="F70">
        <v>8</v>
      </c>
      <c r="G70" s="11">
        <f t="shared" si="16"/>
        <v>1417107.9270017545</v>
      </c>
      <c r="H70" s="7">
        <f t="shared" si="11"/>
        <v>1.575E-2</v>
      </c>
      <c r="I70" s="3">
        <f t="shared" si="12"/>
        <v>39630.789776020189</v>
      </c>
      <c r="J70" s="11">
        <f t="shared" si="13"/>
        <v>22319.449850277633</v>
      </c>
      <c r="K70" s="11">
        <f t="shared" si="14"/>
        <v>1399796.587076012</v>
      </c>
      <c r="P70">
        <v>6000</v>
      </c>
      <c r="Q70" s="6">
        <f t="shared" si="17"/>
        <v>90</v>
      </c>
    </row>
    <row r="71" spans="2:17" x14ac:dyDescent="0.3">
      <c r="B71">
        <v>9</v>
      </c>
      <c r="C71" s="11">
        <f t="shared" si="15"/>
        <v>752044.21022397978</v>
      </c>
      <c r="F71">
        <v>9</v>
      </c>
      <c r="G71" s="11">
        <f t="shared" si="16"/>
        <v>1399796.587076012</v>
      </c>
      <c r="H71" s="7">
        <f t="shared" si="11"/>
        <v>1.575E-2</v>
      </c>
      <c r="I71" s="3">
        <f t="shared" si="12"/>
        <v>39630.789776020189</v>
      </c>
      <c r="J71" s="11">
        <f t="shared" si="13"/>
        <v>22046.796246447189</v>
      </c>
      <c r="K71" s="11">
        <f t="shared" si="14"/>
        <v>1382212.593546439</v>
      </c>
      <c r="P71">
        <v>6000</v>
      </c>
      <c r="Q71" s="6">
        <f t="shared" si="17"/>
        <v>90</v>
      </c>
    </row>
    <row r="72" spans="2:17" x14ac:dyDescent="0.3">
      <c r="B72">
        <v>10</v>
      </c>
      <c r="C72" s="11">
        <f t="shared" si="15"/>
        <v>971544.21022397978</v>
      </c>
      <c r="F72">
        <v>10</v>
      </c>
      <c r="G72" s="11">
        <f t="shared" si="16"/>
        <v>1382212.593546439</v>
      </c>
      <c r="H72" s="7">
        <f t="shared" si="11"/>
        <v>1.575E-2</v>
      </c>
      <c r="I72" s="3">
        <f t="shared" si="12"/>
        <v>39630.789776020189</v>
      </c>
      <c r="J72" s="11">
        <f t="shared" si="13"/>
        <v>21769.848348356412</v>
      </c>
      <c r="K72" s="11">
        <f t="shared" si="14"/>
        <v>1364351.6521187751</v>
      </c>
      <c r="P72">
        <v>5500</v>
      </c>
      <c r="Q72" s="6">
        <f t="shared" si="17"/>
        <v>82.5</v>
      </c>
    </row>
    <row r="73" spans="2:17" x14ac:dyDescent="0.3">
      <c r="B73">
        <v>11</v>
      </c>
      <c r="C73" s="11">
        <f t="shared" si="15"/>
        <v>1165669.2102239798</v>
      </c>
      <c r="F73">
        <v>11</v>
      </c>
      <c r="G73" s="11">
        <f t="shared" si="16"/>
        <v>1364351.6521187751</v>
      </c>
      <c r="H73" s="7">
        <f t="shared" si="11"/>
        <v>1.575E-2</v>
      </c>
      <c r="I73" s="3">
        <f t="shared" si="12"/>
        <v>39630.789776020189</v>
      </c>
      <c r="J73" s="11">
        <f t="shared" si="13"/>
        <v>21488.538520870708</v>
      </c>
      <c r="K73" s="11">
        <f t="shared" si="14"/>
        <v>1346209.4008636256</v>
      </c>
      <c r="P73">
        <v>4600</v>
      </c>
      <c r="Q73" s="6">
        <f t="shared" si="17"/>
        <v>69</v>
      </c>
    </row>
    <row r="74" spans="2:17" x14ac:dyDescent="0.3">
      <c r="B74">
        <v>12</v>
      </c>
      <c r="C74" s="11">
        <f t="shared" si="15"/>
        <v>1390244.2102239798</v>
      </c>
      <c r="F74">
        <v>12</v>
      </c>
      <c r="G74" s="11">
        <f t="shared" si="16"/>
        <v>1346209.4008636256</v>
      </c>
      <c r="H74" s="7">
        <f t="shared" si="11"/>
        <v>1.575E-2</v>
      </c>
      <c r="I74" s="3">
        <f t="shared" si="12"/>
        <v>39630.789776020189</v>
      </c>
      <c r="J74" s="11">
        <f t="shared" si="13"/>
        <v>21202.798063602102</v>
      </c>
      <c r="K74" s="11">
        <f t="shared" si="14"/>
        <v>1327781.4091512074</v>
      </c>
      <c r="P74">
        <v>5100</v>
      </c>
      <c r="Q74" s="6">
        <f t="shared" si="17"/>
        <v>76.5</v>
      </c>
    </row>
    <row r="75" spans="2:17" x14ac:dyDescent="0.3">
      <c r="B75">
        <v>13</v>
      </c>
      <c r="C75" s="11">
        <f t="shared" si="15"/>
        <v>1599594.2102239798</v>
      </c>
      <c r="F75">
        <v>13</v>
      </c>
      <c r="G75" s="11">
        <f t="shared" si="16"/>
        <v>1327781.4091512074</v>
      </c>
      <c r="H75" s="7">
        <f t="shared" si="11"/>
        <v>1.575E-2</v>
      </c>
      <c r="I75" s="3">
        <f t="shared" si="12"/>
        <v>39630.789776020189</v>
      </c>
      <c r="J75" s="11">
        <f t="shared" si="13"/>
        <v>20912.557194131517</v>
      </c>
      <c r="K75" s="11">
        <f t="shared" si="14"/>
        <v>1309063.1765693186</v>
      </c>
      <c r="P75">
        <v>6000</v>
      </c>
      <c r="Q75" s="6">
        <f t="shared" si="17"/>
        <v>90</v>
      </c>
    </row>
    <row r="76" spans="2:17" x14ac:dyDescent="0.3">
      <c r="B76">
        <v>14</v>
      </c>
      <c r="C76" s="11">
        <f t="shared" si="15"/>
        <v>1803869.2102239798</v>
      </c>
      <c r="F76">
        <v>14</v>
      </c>
      <c r="G76" s="11">
        <f t="shared" si="16"/>
        <v>1309063.1765693186</v>
      </c>
      <c r="H76" s="7">
        <f t="shared" si="11"/>
        <v>1.575E-2</v>
      </c>
      <c r="I76" s="3">
        <f t="shared" si="12"/>
        <v>39630.789776020189</v>
      </c>
      <c r="J76" s="11">
        <f t="shared" si="13"/>
        <v>20617.745030966769</v>
      </c>
      <c r="K76" s="11">
        <f t="shared" si="14"/>
        <v>1290050.1318242652</v>
      </c>
      <c r="P76">
        <v>6000</v>
      </c>
      <c r="Q76" s="6">
        <f t="shared" si="17"/>
        <v>90</v>
      </c>
    </row>
    <row r="77" spans="2:17" x14ac:dyDescent="0.3">
      <c r="B77">
        <v>15</v>
      </c>
      <c r="C77" s="11">
        <f t="shared" si="15"/>
        <v>1860969.2102239798</v>
      </c>
      <c r="F77">
        <v>15</v>
      </c>
      <c r="G77" s="11">
        <f t="shared" si="16"/>
        <v>1290050.1318242652</v>
      </c>
      <c r="H77" s="7">
        <f t="shared" si="11"/>
        <v>1.575E-2</v>
      </c>
      <c r="I77" s="3">
        <f t="shared" si="12"/>
        <v>39630.789776020189</v>
      </c>
      <c r="J77" s="11">
        <f t="shared" si="13"/>
        <v>20318.289576232179</v>
      </c>
      <c r="K77" s="11">
        <f t="shared" si="14"/>
        <v>1270737.6316244772</v>
      </c>
      <c r="P77">
        <v>5500</v>
      </c>
      <c r="Q77" s="6">
        <f t="shared" si="17"/>
        <v>82.5</v>
      </c>
    </row>
    <row r="78" spans="2:17" x14ac:dyDescent="0.3">
      <c r="B78">
        <v>16</v>
      </c>
      <c r="C78" s="11">
        <f t="shared" si="15"/>
        <v>1892694.2102239798</v>
      </c>
      <c r="F78">
        <v>16</v>
      </c>
      <c r="G78" s="11">
        <f t="shared" si="16"/>
        <v>1270737.6316244772</v>
      </c>
      <c r="H78" s="7">
        <f t="shared" si="11"/>
        <v>1.575E-2</v>
      </c>
      <c r="I78" s="3">
        <f t="shared" si="12"/>
        <v>39630.789776020189</v>
      </c>
      <c r="J78" s="11">
        <f t="shared" si="13"/>
        <v>20014.117698085516</v>
      </c>
      <c r="K78" s="11">
        <f t="shared" si="14"/>
        <v>1251120.9595465425</v>
      </c>
      <c r="P78">
        <v>4600</v>
      </c>
      <c r="Q78" s="6">
        <f t="shared" si="17"/>
        <v>69</v>
      </c>
    </row>
    <row r="79" spans="2:17" x14ac:dyDescent="0.3">
      <c r="B79">
        <v>17</v>
      </c>
      <c r="C79" s="11">
        <f t="shared" si="15"/>
        <v>2041144.2102239798</v>
      </c>
      <c r="F79">
        <v>17</v>
      </c>
      <c r="G79" s="11">
        <f t="shared" si="16"/>
        <v>1251120.9595465425</v>
      </c>
      <c r="H79" s="7">
        <f t="shared" si="11"/>
        <v>1.575E-2</v>
      </c>
      <c r="I79" s="3">
        <f t="shared" si="12"/>
        <v>39630.789776020189</v>
      </c>
      <c r="J79" s="11">
        <f t="shared" si="13"/>
        <v>19705.155112858043</v>
      </c>
      <c r="K79" s="11">
        <f t="shared" si="14"/>
        <v>1231195.3248833802</v>
      </c>
      <c r="P79">
        <v>5100</v>
      </c>
      <c r="Q79" s="6">
        <f t="shared" si="17"/>
        <v>76.5</v>
      </c>
    </row>
    <row r="80" spans="2:17" x14ac:dyDescent="0.3">
      <c r="B80">
        <v>18</v>
      </c>
      <c r="C80" s="11">
        <f t="shared" si="15"/>
        <v>2214969.2102239798</v>
      </c>
      <c r="F80">
        <v>18</v>
      </c>
      <c r="G80" s="11">
        <f t="shared" si="16"/>
        <v>1231195.3248833802</v>
      </c>
      <c r="H80" s="7">
        <f t="shared" si="11"/>
        <v>1.575E-2</v>
      </c>
      <c r="I80" s="3">
        <f t="shared" si="12"/>
        <v>39630.789776020189</v>
      </c>
      <c r="J80" s="11">
        <f t="shared" si="13"/>
        <v>19391.326366913239</v>
      </c>
      <c r="K80" s="11">
        <f t="shared" si="14"/>
        <v>1210955.8614742733</v>
      </c>
      <c r="P80">
        <v>6000</v>
      </c>
      <c r="Q80" s="6">
        <f t="shared" si="17"/>
        <v>90</v>
      </c>
    </row>
    <row r="81" spans="2:17" x14ac:dyDescent="0.3">
      <c r="B81">
        <v>19</v>
      </c>
      <c r="C81" s="11">
        <f t="shared" si="15"/>
        <v>2434469.2102239798</v>
      </c>
      <c r="F81">
        <v>19</v>
      </c>
      <c r="G81" s="11">
        <f t="shared" si="16"/>
        <v>1210955.8614742733</v>
      </c>
      <c r="H81" s="7">
        <f t="shared" si="11"/>
        <v>1.575E-2</v>
      </c>
      <c r="I81" s="3">
        <f t="shared" si="12"/>
        <v>39630.789776020189</v>
      </c>
      <c r="J81" s="11">
        <f t="shared" si="13"/>
        <v>19072.554818219804</v>
      </c>
      <c r="K81" s="11">
        <f t="shared" si="14"/>
        <v>1190397.6265164728</v>
      </c>
      <c r="P81">
        <v>6000</v>
      </c>
      <c r="Q81" s="6">
        <f t="shared" si="17"/>
        <v>90</v>
      </c>
    </row>
    <row r="82" spans="2:17" x14ac:dyDescent="0.3">
      <c r="B82">
        <v>20</v>
      </c>
      <c r="C82" s="11">
        <f t="shared" si="15"/>
        <v>2653969.2102239798</v>
      </c>
      <c r="F82">
        <v>20</v>
      </c>
      <c r="G82" s="11">
        <f t="shared" si="16"/>
        <v>1190397.6265164728</v>
      </c>
      <c r="H82" s="7">
        <f t="shared" si="11"/>
        <v>1.575E-2</v>
      </c>
      <c r="I82" s="3">
        <f t="shared" si="12"/>
        <v>39630.789776020189</v>
      </c>
      <c r="J82" s="11">
        <f t="shared" si="13"/>
        <v>18748.762617634446</v>
      </c>
      <c r="K82" s="11">
        <f t="shared" si="14"/>
        <v>1169515.5993580869</v>
      </c>
      <c r="P82">
        <v>5500</v>
      </c>
      <c r="Q82" s="6">
        <f t="shared" si="17"/>
        <v>82.5</v>
      </c>
    </row>
    <row r="83" spans="2:17" x14ac:dyDescent="0.3">
      <c r="B83">
        <v>21</v>
      </c>
      <c r="C83" s="11">
        <f t="shared" si="15"/>
        <v>2848094.2102239798</v>
      </c>
      <c r="F83">
        <v>21</v>
      </c>
      <c r="G83" s="11">
        <f t="shared" si="16"/>
        <v>1169515.5993580869</v>
      </c>
      <c r="H83" s="7">
        <f t="shared" si="11"/>
        <v>1.575E-2</v>
      </c>
      <c r="I83" s="3">
        <f t="shared" si="12"/>
        <v>39630.789776020189</v>
      </c>
      <c r="J83" s="11">
        <f t="shared" si="13"/>
        <v>18419.870689889871</v>
      </c>
      <c r="K83" s="11">
        <f t="shared" si="14"/>
        <v>1148304.6802719566</v>
      </c>
      <c r="P83">
        <v>6100</v>
      </c>
      <c r="Q83" s="6">
        <f t="shared" si="17"/>
        <v>91.5</v>
      </c>
    </row>
    <row r="84" spans="2:17" x14ac:dyDescent="0.3">
      <c r="B84">
        <v>22</v>
      </c>
      <c r="C84" s="11">
        <f t="shared" si="15"/>
        <v>2996544.2102239798</v>
      </c>
      <c r="F84">
        <v>22</v>
      </c>
      <c r="G84" s="11">
        <f t="shared" si="16"/>
        <v>1148304.6802719566</v>
      </c>
      <c r="H84" s="7">
        <f t="shared" si="11"/>
        <v>1.575E-2</v>
      </c>
      <c r="I84" s="3">
        <f t="shared" si="12"/>
        <v>39630.789776020189</v>
      </c>
      <c r="J84" s="11">
        <f t="shared" si="13"/>
        <v>18085.798714283315</v>
      </c>
      <c r="K84" s="11">
        <f t="shared" si="14"/>
        <v>1126759.6892102198</v>
      </c>
      <c r="Q84" s="6"/>
    </row>
    <row r="85" spans="2:17" x14ac:dyDescent="0.3">
      <c r="B85">
        <v>23</v>
      </c>
      <c r="C85" s="11">
        <f t="shared" si="15"/>
        <v>3170369.2102239798</v>
      </c>
      <c r="F85">
        <v>23</v>
      </c>
      <c r="G85" s="11">
        <f t="shared" si="16"/>
        <v>1126759.6892102198</v>
      </c>
      <c r="H85" s="7">
        <f t="shared" si="11"/>
        <v>1.575E-2</v>
      </c>
      <c r="I85" s="3">
        <f t="shared" si="12"/>
        <v>39630.789776020189</v>
      </c>
      <c r="J85" s="11">
        <f t="shared" si="13"/>
        <v>17746.465105060961</v>
      </c>
      <c r="K85" s="11">
        <f t="shared" si="14"/>
        <v>1104875.3645392605</v>
      </c>
      <c r="Q85" s="6"/>
    </row>
    <row r="86" spans="2:17" x14ac:dyDescent="0.3">
      <c r="B86">
        <v>24</v>
      </c>
      <c r="C86" s="11">
        <f t="shared" si="15"/>
        <v>3389869.2102239798</v>
      </c>
      <c r="F86">
        <v>24</v>
      </c>
      <c r="G86" s="11">
        <f t="shared" si="16"/>
        <v>1104875.3645392605</v>
      </c>
      <c r="H86" s="7">
        <f t="shared" si="11"/>
        <v>1.575E-2</v>
      </c>
      <c r="I86" s="3">
        <f t="shared" si="12"/>
        <v>39630.789776020189</v>
      </c>
      <c r="J86" s="11">
        <f t="shared" si="13"/>
        <v>17401.786991493354</v>
      </c>
      <c r="K86" s="11">
        <f t="shared" si="14"/>
        <v>1082646.3617547336</v>
      </c>
      <c r="Q86" s="6"/>
    </row>
    <row r="87" spans="2:17" x14ac:dyDescent="0.3">
      <c r="B87">
        <v>25</v>
      </c>
      <c r="C87" s="11">
        <f t="shared" si="15"/>
        <v>3609369.2102239798</v>
      </c>
      <c r="F87">
        <v>25</v>
      </c>
      <c r="G87" s="11">
        <f t="shared" si="16"/>
        <v>1082646.3617547336</v>
      </c>
      <c r="H87" s="7">
        <f t="shared" si="11"/>
        <v>1.575E-2</v>
      </c>
      <c r="I87" s="3">
        <f t="shared" si="12"/>
        <v>39630.789776020189</v>
      </c>
      <c r="J87" s="11">
        <f t="shared" si="13"/>
        <v>17051.680197637055</v>
      </c>
      <c r="K87" s="11">
        <f t="shared" si="14"/>
        <v>1060067.2521763504</v>
      </c>
      <c r="Q87" s="6"/>
    </row>
    <row r="88" spans="2:17" x14ac:dyDescent="0.3">
      <c r="B88">
        <v>26</v>
      </c>
      <c r="C88" s="11">
        <f t="shared" si="15"/>
        <v>3803494.2102239798</v>
      </c>
      <c r="F88">
        <v>26</v>
      </c>
      <c r="G88" s="11">
        <f t="shared" si="16"/>
        <v>1060067.2521763504</v>
      </c>
      <c r="H88" s="7">
        <f t="shared" si="11"/>
        <v>1.575E-2</v>
      </c>
      <c r="I88" s="3">
        <f t="shared" si="12"/>
        <v>39630.789776020189</v>
      </c>
      <c r="J88" s="11">
        <f t="shared" si="13"/>
        <v>16696.059221777519</v>
      </c>
      <c r="K88" s="11">
        <f t="shared" si="14"/>
        <v>1037132.5216221077</v>
      </c>
      <c r="Q88" s="6"/>
    </row>
    <row r="89" spans="2:17" x14ac:dyDescent="0.3">
      <c r="B89">
        <v>27</v>
      </c>
      <c r="C89" s="11">
        <f t="shared" si="15"/>
        <v>4028069.2102239798</v>
      </c>
      <c r="F89">
        <v>27</v>
      </c>
      <c r="G89" s="11">
        <f t="shared" si="16"/>
        <v>1037132.5216221077</v>
      </c>
      <c r="H89" s="7">
        <f t="shared" si="11"/>
        <v>1.575E-2</v>
      </c>
      <c r="I89" s="3">
        <f t="shared" si="12"/>
        <v>39630.789776020189</v>
      </c>
      <c r="J89" s="11">
        <f t="shared" si="13"/>
        <v>16334.837215548197</v>
      </c>
      <c r="K89" s="11">
        <f t="shared" si="14"/>
        <v>1013836.5690616356</v>
      </c>
      <c r="Q89" s="6"/>
    </row>
    <row r="90" spans="2:17" x14ac:dyDescent="0.3">
      <c r="B90">
        <v>28</v>
      </c>
      <c r="C90" s="11">
        <f t="shared" si="15"/>
        <v>4196819.2102239802</v>
      </c>
      <c r="F90">
        <v>28</v>
      </c>
      <c r="G90" s="11">
        <f t="shared" si="16"/>
        <v>1013836.5690616356</v>
      </c>
      <c r="H90" s="7">
        <f t="shared" si="11"/>
        <v>1.575E-2</v>
      </c>
      <c r="I90" s="3">
        <f t="shared" si="12"/>
        <v>39630.789776020189</v>
      </c>
      <c r="J90" s="11">
        <f t="shared" si="13"/>
        <v>15967.925962720761</v>
      </c>
      <c r="K90" s="11">
        <f t="shared" si="14"/>
        <v>990173.70524833619</v>
      </c>
      <c r="Q90" s="6"/>
    </row>
    <row r="91" spans="2:17" x14ac:dyDescent="0.3">
      <c r="B91">
        <v>29</v>
      </c>
      <c r="C91" s="11">
        <f t="shared" si="15"/>
        <v>4345269.2102239802</v>
      </c>
      <c r="F91">
        <v>29</v>
      </c>
      <c r="G91" s="11">
        <f t="shared" si="16"/>
        <v>990173.70524833619</v>
      </c>
      <c r="H91" s="7">
        <f t="shared" si="11"/>
        <v>1.575E-2</v>
      </c>
      <c r="I91" s="3">
        <f t="shared" si="12"/>
        <v>39630.789776020189</v>
      </c>
      <c r="J91" s="11">
        <f t="shared" si="13"/>
        <v>15595.235857661295</v>
      </c>
      <c r="K91" s="11">
        <f t="shared" si="14"/>
        <v>966138.15132997732</v>
      </c>
      <c r="Q91" s="6"/>
    </row>
    <row r="92" spans="2:17" x14ac:dyDescent="0.3">
      <c r="B92">
        <v>30</v>
      </c>
      <c r="C92" s="11">
        <f t="shared" si="15"/>
        <v>4519094.2102239802</v>
      </c>
      <c r="F92">
        <v>30</v>
      </c>
      <c r="G92" s="11">
        <f t="shared" si="16"/>
        <v>966138.15132997732</v>
      </c>
      <c r="H92" s="7">
        <f t="shared" si="11"/>
        <v>1.575E-2</v>
      </c>
      <c r="I92" s="3">
        <f t="shared" si="12"/>
        <v>39630.789776020189</v>
      </c>
      <c r="J92" s="11">
        <f t="shared" si="13"/>
        <v>15216.675883447142</v>
      </c>
      <c r="K92" s="11">
        <f t="shared" si="14"/>
        <v>941724.03743740427</v>
      </c>
      <c r="Q92" s="6"/>
    </row>
    <row r="93" spans="2:17" x14ac:dyDescent="0.3">
      <c r="B93">
        <v>31</v>
      </c>
      <c r="C93" s="11">
        <f t="shared" si="15"/>
        <v>4738594.2102239802</v>
      </c>
      <c r="F93">
        <v>31</v>
      </c>
      <c r="G93" s="11">
        <f t="shared" si="16"/>
        <v>941724.03743740427</v>
      </c>
      <c r="H93" s="7">
        <f t="shared" si="11"/>
        <v>1.575E-2</v>
      </c>
      <c r="I93" s="3">
        <f t="shared" si="12"/>
        <v>39630.789776020189</v>
      </c>
      <c r="J93" s="11">
        <f t="shared" si="13"/>
        <v>14832.153589639118</v>
      </c>
      <c r="K93" s="11">
        <f t="shared" si="14"/>
        <v>916925.40125102317</v>
      </c>
      <c r="Q93" s="6"/>
    </row>
    <row r="94" spans="2:17" x14ac:dyDescent="0.3">
      <c r="B94">
        <v>32</v>
      </c>
      <c r="C94" s="11">
        <f t="shared" si="15"/>
        <v>4958094.2102239802</v>
      </c>
      <c r="F94">
        <v>32</v>
      </c>
      <c r="G94" s="11">
        <f t="shared" si="16"/>
        <v>916925.40125102317</v>
      </c>
      <c r="H94" s="7">
        <f t="shared" si="11"/>
        <v>1.575E-2</v>
      </c>
      <c r="I94" s="3">
        <f t="shared" si="12"/>
        <v>39630.789776020189</v>
      </c>
      <c r="J94" s="11">
        <f t="shared" si="13"/>
        <v>14441.575069703615</v>
      </c>
      <c r="K94" s="11">
        <f t="shared" si="14"/>
        <v>891736.18654470658</v>
      </c>
      <c r="Q94" s="6"/>
    </row>
    <row r="95" spans="2:17" x14ac:dyDescent="0.3">
      <c r="B95">
        <v>33</v>
      </c>
      <c r="C95" s="11">
        <f t="shared" si="15"/>
        <v>5152219.2102239802</v>
      </c>
      <c r="F95">
        <v>33</v>
      </c>
      <c r="G95" s="11">
        <f t="shared" si="16"/>
        <v>891736.18654470658</v>
      </c>
      <c r="H95" s="7">
        <f t="shared" ref="H95:H122" si="18">$N$12/12</f>
        <v>1.575E-2</v>
      </c>
      <c r="I95" s="3">
        <f t="shared" ref="I95:I122" si="19">$N$3</f>
        <v>39630.789776020189</v>
      </c>
      <c r="J95" s="11">
        <f t="shared" ref="J95:J122" si="20">(G95)*H95</f>
        <v>14044.844938079128</v>
      </c>
      <c r="K95" s="11">
        <f t="shared" ref="K95:K122" si="21">G95-I95+J95</f>
        <v>866150.24170676549</v>
      </c>
      <c r="Q95" s="6"/>
    </row>
    <row r="96" spans="2:17" x14ac:dyDescent="0.3">
      <c r="B96">
        <v>34</v>
      </c>
      <c r="C96" s="11">
        <f t="shared" ref="C96:C123" si="22">$C$63+H34</f>
        <v>5376794.2102239802</v>
      </c>
      <c r="F96">
        <v>34</v>
      </c>
      <c r="G96" s="11">
        <f t="shared" ref="G96:G122" si="23">K95</f>
        <v>866150.24170676549</v>
      </c>
      <c r="H96" s="7">
        <f t="shared" si="18"/>
        <v>1.575E-2</v>
      </c>
      <c r="I96" s="3">
        <f t="shared" si="19"/>
        <v>39630.789776020189</v>
      </c>
      <c r="J96" s="11">
        <f t="shared" si="20"/>
        <v>13641.866306881557</v>
      </c>
      <c r="K96" s="11">
        <f t="shared" si="21"/>
        <v>840161.31823762681</v>
      </c>
      <c r="Q96" s="6"/>
    </row>
    <row r="97" spans="2:17" x14ac:dyDescent="0.3">
      <c r="B97">
        <v>35</v>
      </c>
      <c r="C97" s="11">
        <f t="shared" si="22"/>
        <v>5545544.2102239802</v>
      </c>
      <c r="F97">
        <v>35</v>
      </c>
      <c r="G97" s="11">
        <f t="shared" si="23"/>
        <v>840161.31823762681</v>
      </c>
      <c r="H97" s="7">
        <f t="shared" si="18"/>
        <v>1.575E-2</v>
      </c>
      <c r="I97" s="3">
        <f t="shared" si="19"/>
        <v>39630.789776020189</v>
      </c>
      <c r="J97" s="11">
        <f t="shared" si="20"/>
        <v>13232.540762242623</v>
      </c>
      <c r="K97" s="11">
        <f t="shared" si="21"/>
        <v>813763.06922384922</v>
      </c>
      <c r="Q97" s="6"/>
    </row>
    <row r="98" spans="2:17" x14ac:dyDescent="0.3">
      <c r="B98">
        <v>36</v>
      </c>
      <c r="C98" s="11">
        <f t="shared" si="22"/>
        <v>5693994.2102239802</v>
      </c>
      <c r="F98">
        <v>36</v>
      </c>
      <c r="G98" s="11">
        <f t="shared" si="23"/>
        <v>813763.06922384922</v>
      </c>
      <c r="H98" s="7">
        <f t="shared" si="18"/>
        <v>1.575E-2</v>
      </c>
      <c r="I98" s="3">
        <f t="shared" si="19"/>
        <v>39630.789776020189</v>
      </c>
      <c r="J98" s="11">
        <f t="shared" si="20"/>
        <v>12816.768340275625</v>
      </c>
      <c r="K98" s="11">
        <f t="shared" si="21"/>
        <v>786949.04778810462</v>
      </c>
      <c r="Q98" s="6"/>
    </row>
    <row r="99" spans="2:17" x14ac:dyDescent="0.3">
      <c r="B99">
        <v>37</v>
      </c>
      <c r="C99" s="11">
        <f t="shared" si="22"/>
        <v>5867819.2102239802</v>
      </c>
      <c r="F99">
        <v>37</v>
      </c>
      <c r="G99" s="11">
        <f t="shared" si="23"/>
        <v>786949.04778810462</v>
      </c>
      <c r="H99" s="7">
        <f t="shared" si="18"/>
        <v>1.575E-2</v>
      </c>
      <c r="I99" s="3">
        <f t="shared" si="19"/>
        <v>39630.789776020189</v>
      </c>
      <c r="J99" s="11">
        <f t="shared" si="20"/>
        <v>12394.447502662648</v>
      </c>
      <c r="K99" s="11">
        <f t="shared" si="21"/>
        <v>759712.70551474707</v>
      </c>
      <c r="Q99" s="6"/>
    </row>
    <row r="100" spans="2:17" x14ac:dyDescent="0.3">
      <c r="B100">
        <v>38</v>
      </c>
      <c r="C100" s="11">
        <f t="shared" si="22"/>
        <v>6087319.2102239802</v>
      </c>
      <c r="F100">
        <v>38</v>
      </c>
      <c r="G100" s="11">
        <f t="shared" si="23"/>
        <v>759712.70551474707</v>
      </c>
      <c r="H100" s="7">
        <f t="shared" si="18"/>
        <v>1.575E-2</v>
      </c>
      <c r="I100" s="3">
        <f t="shared" si="19"/>
        <v>39630.789776020189</v>
      </c>
      <c r="J100" s="11">
        <f t="shared" si="20"/>
        <v>11965.475111857266</v>
      </c>
      <c r="K100" s="11">
        <f t="shared" si="21"/>
        <v>732047.39085058414</v>
      </c>
      <c r="Q100" s="6"/>
    </row>
    <row r="101" spans="2:17" x14ac:dyDescent="0.3">
      <c r="B101">
        <v>39</v>
      </c>
      <c r="C101" s="11">
        <f t="shared" si="22"/>
        <v>6306819.2102239802</v>
      </c>
      <c r="F101">
        <v>39</v>
      </c>
      <c r="G101" s="11">
        <f t="shared" si="23"/>
        <v>732047.39085058414</v>
      </c>
      <c r="H101" s="7">
        <f t="shared" si="18"/>
        <v>1.575E-2</v>
      </c>
      <c r="I101" s="3">
        <f t="shared" si="19"/>
        <v>39630.789776020189</v>
      </c>
      <c r="J101" s="11">
        <f t="shared" si="20"/>
        <v>11529.7464058967</v>
      </c>
      <c r="K101" s="11">
        <f t="shared" si="21"/>
        <v>703946.34748046065</v>
      </c>
      <c r="Q101" s="6"/>
    </row>
    <row r="102" spans="2:17" x14ac:dyDescent="0.3">
      <c r="B102">
        <v>40</v>
      </c>
      <c r="C102" s="11">
        <f t="shared" si="22"/>
        <v>6500944.2102239802</v>
      </c>
      <c r="F102">
        <v>40</v>
      </c>
      <c r="G102" s="11">
        <f t="shared" si="23"/>
        <v>703946.34748046065</v>
      </c>
      <c r="H102" s="7">
        <f t="shared" si="18"/>
        <v>1.575E-2</v>
      </c>
      <c r="I102" s="3">
        <f t="shared" si="19"/>
        <v>39630.789776020189</v>
      </c>
      <c r="J102" s="11">
        <f t="shared" si="20"/>
        <v>11087.154972817256</v>
      </c>
      <c r="K102" s="11">
        <f t="shared" si="21"/>
        <v>675402.71267725772</v>
      </c>
      <c r="Q102" s="6"/>
    </row>
    <row r="103" spans="2:17" x14ac:dyDescent="0.3">
      <c r="B103">
        <v>41</v>
      </c>
      <c r="C103" s="11">
        <f t="shared" si="22"/>
        <v>6649394.2102239802</v>
      </c>
      <c r="F103">
        <v>41</v>
      </c>
      <c r="G103" s="11">
        <f t="shared" si="23"/>
        <v>675402.71267725772</v>
      </c>
      <c r="H103" s="7">
        <f t="shared" si="18"/>
        <v>1.575E-2</v>
      </c>
      <c r="I103" s="3">
        <f t="shared" si="19"/>
        <v>39630.789776020189</v>
      </c>
      <c r="J103" s="11">
        <f t="shared" si="20"/>
        <v>10637.592724666809</v>
      </c>
      <c r="K103" s="11">
        <f t="shared" si="21"/>
        <v>646409.51562590431</v>
      </c>
    </row>
    <row r="104" spans="2:17" x14ac:dyDescent="0.3">
      <c r="B104">
        <v>42</v>
      </c>
      <c r="C104" s="11">
        <f t="shared" si="22"/>
        <v>6823219.2102239802</v>
      </c>
      <c r="F104">
        <v>42</v>
      </c>
      <c r="G104" s="11">
        <f t="shared" si="23"/>
        <v>646409.51562590431</v>
      </c>
      <c r="H104" s="7">
        <f t="shared" si="18"/>
        <v>1.575E-2</v>
      </c>
      <c r="I104" s="3">
        <f t="shared" si="19"/>
        <v>39630.789776020189</v>
      </c>
      <c r="J104" s="11">
        <f t="shared" si="20"/>
        <v>10180.949871107992</v>
      </c>
      <c r="K104" s="11">
        <f t="shared" si="21"/>
        <v>616959.67572099203</v>
      </c>
    </row>
    <row r="105" spans="2:17" x14ac:dyDescent="0.3">
      <c r="B105">
        <v>43</v>
      </c>
      <c r="C105" s="11">
        <f t="shared" si="22"/>
        <v>7042719.2102239802</v>
      </c>
      <c r="F105">
        <v>43</v>
      </c>
      <c r="G105" s="11">
        <f t="shared" si="23"/>
        <v>616959.67572099203</v>
      </c>
      <c r="H105" s="7">
        <f t="shared" si="18"/>
        <v>1.575E-2</v>
      </c>
      <c r="I105" s="3">
        <f t="shared" si="19"/>
        <v>39630.789776020189</v>
      </c>
      <c r="J105" s="11">
        <f t="shared" si="20"/>
        <v>9717.1148926056248</v>
      </c>
      <c r="K105" s="11">
        <f t="shared" si="21"/>
        <v>587046.00083757739</v>
      </c>
    </row>
    <row r="106" spans="2:17" x14ac:dyDescent="0.3">
      <c r="B106">
        <v>44</v>
      </c>
      <c r="C106" s="11">
        <f t="shared" si="22"/>
        <v>7191169.2102239802</v>
      </c>
      <c r="F106">
        <v>44</v>
      </c>
      <c r="G106" s="11">
        <f t="shared" si="23"/>
        <v>587046.00083757739</v>
      </c>
      <c r="H106" s="7">
        <f t="shared" si="18"/>
        <v>1.575E-2</v>
      </c>
      <c r="I106" s="3">
        <f t="shared" si="19"/>
        <v>39630.789776020189</v>
      </c>
      <c r="J106" s="11">
        <f t="shared" si="20"/>
        <v>9245.9745131918444</v>
      </c>
      <c r="K106" s="11">
        <f t="shared" si="21"/>
        <v>556661.18557474902</v>
      </c>
    </row>
    <row r="107" spans="2:17" x14ac:dyDescent="0.3">
      <c r="B107">
        <v>45</v>
      </c>
      <c r="C107" s="11">
        <f t="shared" si="22"/>
        <v>7364994.2102239802</v>
      </c>
      <c r="F107">
        <v>45</v>
      </c>
      <c r="G107" s="11">
        <f t="shared" si="23"/>
        <v>556661.18557474902</v>
      </c>
      <c r="H107" s="7">
        <f t="shared" si="18"/>
        <v>1.575E-2</v>
      </c>
      <c r="I107" s="3">
        <f t="shared" si="19"/>
        <v>39630.789776020189</v>
      </c>
      <c r="J107" s="11">
        <f t="shared" si="20"/>
        <v>8767.4136728022968</v>
      </c>
      <c r="K107" s="11">
        <f t="shared" si="21"/>
        <v>525797.80947153107</v>
      </c>
    </row>
    <row r="108" spans="2:17" x14ac:dyDescent="0.3">
      <c r="B108">
        <v>46</v>
      </c>
      <c r="C108" s="11">
        <f t="shared" si="22"/>
        <v>7584494.2102239802</v>
      </c>
      <c r="F108">
        <v>46</v>
      </c>
      <c r="G108" s="11">
        <f t="shared" si="23"/>
        <v>525797.80947153107</v>
      </c>
      <c r="H108" s="7">
        <f t="shared" si="18"/>
        <v>1.575E-2</v>
      </c>
      <c r="I108" s="3">
        <f t="shared" si="19"/>
        <v>39630.789776020189</v>
      </c>
      <c r="J108" s="11">
        <f t="shared" si="20"/>
        <v>8281.315499176615</v>
      </c>
      <c r="K108" s="11">
        <f t="shared" si="21"/>
        <v>494448.33519468748</v>
      </c>
    </row>
    <row r="109" spans="2:17" x14ac:dyDescent="0.3">
      <c r="B109">
        <v>47</v>
      </c>
      <c r="C109" s="11">
        <f t="shared" si="22"/>
        <v>7803994.2102239802</v>
      </c>
      <c r="F109">
        <v>47</v>
      </c>
      <c r="G109" s="11">
        <f t="shared" si="23"/>
        <v>494448.33519468748</v>
      </c>
      <c r="H109" s="7">
        <f t="shared" si="18"/>
        <v>1.575E-2</v>
      </c>
      <c r="I109" s="3">
        <f t="shared" si="19"/>
        <v>39630.789776020189</v>
      </c>
      <c r="J109" s="11">
        <f t="shared" si="20"/>
        <v>7787.5612793163282</v>
      </c>
      <c r="K109" s="11">
        <f t="shared" si="21"/>
        <v>462605.10669798357</v>
      </c>
    </row>
    <row r="110" spans="2:17" x14ac:dyDescent="0.3">
      <c r="B110">
        <v>48</v>
      </c>
      <c r="C110" s="11">
        <f t="shared" si="22"/>
        <v>7998119.2102239802</v>
      </c>
      <c r="F110">
        <v>48</v>
      </c>
      <c r="G110" s="11">
        <f t="shared" si="23"/>
        <v>462605.10669798357</v>
      </c>
      <c r="H110" s="7">
        <f t="shared" si="18"/>
        <v>1.575E-2</v>
      </c>
      <c r="I110" s="3">
        <f t="shared" si="19"/>
        <v>39630.789776020189</v>
      </c>
      <c r="J110" s="11">
        <f t="shared" si="20"/>
        <v>7286.0304304932415</v>
      </c>
      <c r="K110" s="11">
        <f t="shared" si="21"/>
        <v>430260.34735245659</v>
      </c>
    </row>
    <row r="111" spans="2:17" x14ac:dyDescent="0.3">
      <c r="B111">
        <v>49</v>
      </c>
      <c r="C111" s="11">
        <f t="shared" si="22"/>
        <v>8146569.2102239802</v>
      </c>
      <c r="F111">
        <v>49</v>
      </c>
      <c r="G111" s="11">
        <f t="shared" si="23"/>
        <v>430260.34735245659</v>
      </c>
      <c r="H111" s="7">
        <f t="shared" si="18"/>
        <v>1.575E-2</v>
      </c>
      <c r="I111" s="3">
        <f t="shared" si="19"/>
        <v>39630.789776020189</v>
      </c>
      <c r="J111" s="11">
        <f t="shared" si="20"/>
        <v>6776.6004708011915</v>
      </c>
      <c r="K111" s="11">
        <f t="shared" si="21"/>
        <v>397406.15804723761</v>
      </c>
    </row>
    <row r="112" spans="2:17" x14ac:dyDescent="0.3">
      <c r="B112">
        <v>50</v>
      </c>
      <c r="C112" s="11">
        <f t="shared" si="22"/>
        <v>8320394.2102239802</v>
      </c>
      <c r="F112">
        <v>50</v>
      </c>
      <c r="G112" s="11">
        <f t="shared" si="23"/>
        <v>397406.15804723761</v>
      </c>
      <c r="H112" s="7">
        <f t="shared" si="18"/>
        <v>1.575E-2</v>
      </c>
      <c r="I112" s="3">
        <f t="shared" si="19"/>
        <v>39630.789776020189</v>
      </c>
      <c r="J112" s="11">
        <f t="shared" si="20"/>
        <v>6259.1469892439927</v>
      </c>
      <c r="K112" s="11">
        <f t="shared" si="21"/>
        <v>364034.51526046143</v>
      </c>
    </row>
    <row r="113" spans="2:11" x14ac:dyDescent="0.3">
      <c r="B113">
        <v>51</v>
      </c>
      <c r="C113" s="11">
        <f t="shared" si="22"/>
        <v>8539894.2102239802</v>
      </c>
      <c r="F113">
        <v>51</v>
      </c>
      <c r="G113" s="11">
        <f t="shared" si="23"/>
        <v>364034.51526046143</v>
      </c>
      <c r="H113" s="7">
        <f t="shared" si="18"/>
        <v>1.575E-2</v>
      </c>
      <c r="I113" s="3">
        <f t="shared" si="19"/>
        <v>39630.789776020189</v>
      </c>
      <c r="J113" s="11">
        <f t="shared" si="20"/>
        <v>5733.5436153522678</v>
      </c>
      <c r="K113" s="11">
        <f t="shared" si="21"/>
        <v>330137.26909979351</v>
      </c>
    </row>
    <row r="114" spans="2:11" x14ac:dyDescent="0.3">
      <c r="B114">
        <v>52</v>
      </c>
      <c r="C114" s="11">
        <f t="shared" si="22"/>
        <v>8759394.2102239802</v>
      </c>
      <c r="F114">
        <v>52</v>
      </c>
      <c r="G114" s="11">
        <f t="shared" si="23"/>
        <v>330137.26909979351</v>
      </c>
      <c r="H114" s="7">
        <f t="shared" si="18"/>
        <v>1.575E-2</v>
      </c>
      <c r="I114" s="3">
        <f t="shared" si="19"/>
        <v>39630.789776020189</v>
      </c>
      <c r="J114" s="11">
        <f t="shared" si="20"/>
        <v>5199.6619883217481</v>
      </c>
      <c r="K114" s="11">
        <f t="shared" si="21"/>
        <v>295706.14131209505</v>
      </c>
    </row>
    <row r="115" spans="2:11" x14ac:dyDescent="0.3">
      <c r="B115">
        <v>53</v>
      </c>
      <c r="C115" s="11">
        <f t="shared" si="22"/>
        <v>8953519.2102239802</v>
      </c>
      <c r="F115">
        <v>53</v>
      </c>
      <c r="G115" s="11">
        <f t="shared" si="23"/>
        <v>295706.14131209505</v>
      </c>
      <c r="H115" s="7">
        <f t="shared" si="18"/>
        <v>1.575E-2</v>
      </c>
      <c r="I115" s="3">
        <f t="shared" si="19"/>
        <v>39630.789776020189</v>
      </c>
      <c r="J115" s="11">
        <f t="shared" si="20"/>
        <v>4657.3717256654973</v>
      </c>
      <c r="K115" s="11">
        <f t="shared" si="21"/>
        <v>260732.72326174035</v>
      </c>
    </row>
    <row r="116" spans="2:11" x14ac:dyDescent="0.3">
      <c r="B116">
        <v>54</v>
      </c>
      <c r="C116" s="11">
        <f t="shared" si="22"/>
        <v>9101969.2102239802</v>
      </c>
      <c r="F116">
        <v>54</v>
      </c>
      <c r="G116" s="11">
        <f t="shared" si="23"/>
        <v>260732.72326174035</v>
      </c>
      <c r="H116" s="7">
        <f t="shared" si="18"/>
        <v>1.575E-2</v>
      </c>
      <c r="I116" s="3">
        <f t="shared" si="19"/>
        <v>39630.789776020189</v>
      </c>
      <c r="J116" s="11">
        <f t="shared" si="20"/>
        <v>4106.5403913724103</v>
      </c>
      <c r="K116" s="11">
        <f t="shared" si="21"/>
        <v>225208.47387709256</v>
      </c>
    </row>
    <row r="117" spans="2:11" x14ac:dyDescent="0.3">
      <c r="B117">
        <v>55</v>
      </c>
      <c r="C117" s="11">
        <f t="shared" si="22"/>
        <v>9275794.2102239802</v>
      </c>
      <c r="F117">
        <v>55</v>
      </c>
      <c r="G117" s="11">
        <f t="shared" si="23"/>
        <v>225208.47387709256</v>
      </c>
      <c r="H117" s="7">
        <f t="shared" si="18"/>
        <v>1.575E-2</v>
      </c>
      <c r="I117" s="3">
        <f t="shared" si="19"/>
        <v>39630.789776020189</v>
      </c>
      <c r="J117" s="11">
        <f t="shared" si="20"/>
        <v>3547.033463564208</v>
      </c>
      <c r="K117" s="11">
        <f t="shared" si="21"/>
        <v>189124.71756463658</v>
      </c>
    </row>
    <row r="118" spans="2:11" x14ac:dyDescent="0.3">
      <c r="B118">
        <v>56</v>
      </c>
      <c r="C118" s="11">
        <f t="shared" si="22"/>
        <v>9495294.2102239802</v>
      </c>
      <c r="F118">
        <v>56</v>
      </c>
      <c r="G118" s="11">
        <f t="shared" si="23"/>
        <v>189124.71756463658</v>
      </c>
      <c r="H118" s="7">
        <f t="shared" si="18"/>
        <v>1.575E-2</v>
      </c>
      <c r="I118" s="3">
        <f t="shared" si="19"/>
        <v>39630.789776020189</v>
      </c>
      <c r="J118" s="11">
        <f t="shared" si="20"/>
        <v>2978.7143016430264</v>
      </c>
      <c r="K118" s="11">
        <f t="shared" si="21"/>
        <v>152472.64209025941</v>
      </c>
    </row>
    <row r="119" spans="2:11" x14ac:dyDescent="0.3">
      <c r="B119">
        <v>57</v>
      </c>
      <c r="C119" s="11">
        <f t="shared" si="22"/>
        <v>9714794.2102239802</v>
      </c>
      <c r="F119">
        <v>57</v>
      </c>
      <c r="G119" s="11">
        <f t="shared" si="23"/>
        <v>152472.64209025941</v>
      </c>
      <c r="H119" s="7">
        <f t="shared" si="18"/>
        <v>1.575E-2</v>
      </c>
      <c r="I119" s="3">
        <f t="shared" si="19"/>
        <v>39630.789776020189</v>
      </c>
      <c r="J119" s="11">
        <f t="shared" si="20"/>
        <v>2401.4441129215857</v>
      </c>
      <c r="K119" s="11">
        <f t="shared" si="21"/>
        <v>115243.29642716081</v>
      </c>
    </row>
    <row r="120" spans="2:11" x14ac:dyDescent="0.3">
      <c r="B120">
        <v>58</v>
      </c>
      <c r="C120" s="11">
        <f t="shared" si="22"/>
        <v>9863244.2102239802</v>
      </c>
      <c r="F120">
        <v>58</v>
      </c>
      <c r="G120" s="11">
        <f t="shared" si="23"/>
        <v>115243.29642716081</v>
      </c>
      <c r="H120" s="7">
        <f t="shared" si="18"/>
        <v>1.575E-2</v>
      </c>
      <c r="I120" s="3">
        <f t="shared" si="19"/>
        <v>39630.789776020189</v>
      </c>
      <c r="J120" s="11">
        <f t="shared" si="20"/>
        <v>1815.0819187277827</v>
      </c>
      <c r="K120" s="11">
        <f t="shared" si="21"/>
        <v>77427.5885698684</v>
      </c>
    </row>
    <row r="121" spans="2:11" x14ac:dyDescent="0.3">
      <c r="B121">
        <v>59</v>
      </c>
      <c r="C121" s="11">
        <f t="shared" si="22"/>
        <v>10037069.21022398</v>
      </c>
      <c r="F121">
        <v>59</v>
      </c>
      <c r="G121" s="11">
        <f t="shared" si="23"/>
        <v>77427.5885698684</v>
      </c>
      <c r="H121" s="7">
        <f t="shared" si="18"/>
        <v>1.575E-2</v>
      </c>
      <c r="I121" s="3">
        <f t="shared" si="19"/>
        <v>39630.789776020189</v>
      </c>
      <c r="J121" s="11">
        <f t="shared" si="20"/>
        <v>1219.4845199754272</v>
      </c>
      <c r="K121" s="11">
        <f t="shared" si="21"/>
        <v>39016.283313823638</v>
      </c>
    </row>
    <row r="122" spans="2:11" x14ac:dyDescent="0.3">
      <c r="B122">
        <v>60</v>
      </c>
      <c r="C122" s="11">
        <f t="shared" si="22"/>
        <v>10256569.21022398</v>
      </c>
      <c r="F122">
        <v>60</v>
      </c>
      <c r="G122" s="11">
        <f t="shared" si="23"/>
        <v>39016.283313823638</v>
      </c>
      <c r="H122" s="7">
        <f t="shared" si="18"/>
        <v>1.575E-2</v>
      </c>
      <c r="I122" s="3">
        <f t="shared" si="19"/>
        <v>39630.789776020189</v>
      </c>
      <c r="J122" s="11">
        <f t="shared" si="20"/>
        <v>614.50646219272232</v>
      </c>
      <c r="K122" s="11">
        <f t="shared" si="21"/>
        <v>-3.8279495129245333E-9</v>
      </c>
    </row>
    <row r="123" spans="2:11" x14ac:dyDescent="0.3">
      <c r="C123" s="11">
        <f t="shared" si="22"/>
        <v>10476069.21022398</v>
      </c>
      <c r="G123">
        <v>0</v>
      </c>
    </row>
    <row r="158" spans="1:12" ht="15" x14ac:dyDescent="0.45">
      <c r="A158" s="12" t="s">
        <v>41</v>
      </c>
      <c r="F158" s="13"/>
      <c r="G158" s="13" t="s">
        <v>42</v>
      </c>
      <c r="H158" s="13" t="s">
        <v>43</v>
      </c>
      <c r="I158" s="13" t="s">
        <v>44</v>
      </c>
      <c r="J158" s="14" t="s">
        <v>68</v>
      </c>
      <c r="K158" s="13" t="s">
        <v>66</v>
      </c>
      <c r="L158" t="s">
        <v>67</v>
      </c>
    </row>
    <row r="159" spans="1:12" x14ac:dyDescent="0.3">
      <c r="A159" s="2" t="s">
        <v>45</v>
      </c>
      <c r="B159" s="10">
        <f>B160+2*B161</f>
        <v>649.21347195933186</v>
      </c>
      <c r="C159">
        <f>B159/8/24</f>
        <v>3.3813201664548536</v>
      </c>
      <c r="D159">
        <f>C159*30000</f>
        <v>101439.60499364561</v>
      </c>
      <c r="E159">
        <f>D159*0.15+D159</f>
        <v>116655.54574269245</v>
      </c>
      <c r="F159" s="15" t="s">
        <v>46</v>
      </c>
      <c r="G159" s="16">
        <v>8</v>
      </c>
      <c r="H159" s="16">
        <v>32</v>
      </c>
      <c r="I159" s="16">
        <v>20</v>
      </c>
      <c r="J159" s="17">
        <f>(H159+4*I159+G159)/6</f>
        <v>20</v>
      </c>
      <c r="K159" s="17">
        <f>(H159-G159)/6</f>
        <v>4</v>
      </c>
      <c r="L159">
        <f>POWER(K159,2)</f>
        <v>16</v>
      </c>
    </row>
    <row r="160" spans="1:12" ht="14.15" x14ac:dyDescent="0.4">
      <c r="A160" t="s">
        <v>47</v>
      </c>
      <c r="B160" s="10">
        <f>SUM(J159:J174)</f>
        <v>621.00000000000011</v>
      </c>
      <c r="F160" s="15" t="s">
        <v>48</v>
      </c>
      <c r="G160" s="16">
        <v>60</v>
      </c>
      <c r="H160" s="18">
        <v>76</v>
      </c>
      <c r="I160" s="16">
        <v>65</v>
      </c>
      <c r="J160" s="17">
        <f t="shared" ref="J160:J174" si="24">(H160+4*I160+G160)/6</f>
        <v>66</v>
      </c>
      <c r="K160" s="17">
        <f>(H160-G160)/6</f>
        <v>2.6666666666666665</v>
      </c>
      <c r="L160">
        <f t="shared" ref="L160:L174" si="25">POWER(K160,2)</f>
        <v>7.1111111111111107</v>
      </c>
    </row>
    <row r="161" spans="1:12" ht="25.75" x14ac:dyDescent="0.4">
      <c r="A161" t="s">
        <v>49</v>
      </c>
      <c r="B161" s="10">
        <f>SQRT(SUM(L159:L174))</f>
        <v>14.106735979665885</v>
      </c>
      <c r="F161" s="15" t="s">
        <v>50</v>
      </c>
      <c r="G161" s="16">
        <v>14</v>
      </c>
      <c r="H161" s="16">
        <v>20</v>
      </c>
      <c r="I161" s="16">
        <v>18</v>
      </c>
      <c r="J161" s="17">
        <f>(H161+4*I161+G161)/6</f>
        <v>17.666666666666668</v>
      </c>
      <c r="K161" s="17">
        <f t="shared" ref="K161:K174" si="26">(H161-G161)/6</f>
        <v>1</v>
      </c>
      <c r="L161">
        <f t="shared" si="25"/>
        <v>1</v>
      </c>
    </row>
    <row r="162" spans="1:12" ht="37.299999999999997" x14ac:dyDescent="0.3">
      <c r="B162" s="10"/>
      <c r="F162" s="15" t="s">
        <v>51</v>
      </c>
      <c r="G162" s="16">
        <v>16</v>
      </c>
      <c r="H162" s="16">
        <v>24</v>
      </c>
      <c r="I162" s="16">
        <v>20</v>
      </c>
      <c r="J162" s="17">
        <f t="shared" si="24"/>
        <v>20</v>
      </c>
      <c r="K162" s="17">
        <f>(H162-G162)/6</f>
        <v>1.3333333333333333</v>
      </c>
      <c r="L162">
        <f t="shared" si="25"/>
        <v>1.7777777777777777</v>
      </c>
    </row>
    <row r="163" spans="1:12" ht="25.75" x14ac:dyDescent="0.4">
      <c r="A163" t="s">
        <v>52</v>
      </c>
      <c r="B163" s="10"/>
      <c r="F163" s="15" t="s">
        <v>53</v>
      </c>
      <c r="G163" s="16">
        <v>16</v>
      </c>
      <c r="H163" s="16">
        <v>20</v>
      </c>
      <c r="I163" s="16">
        <v>18</v>
      </c>
      <c r="J163" s="17">
        <f>(H163+4*I163+G163)/6</f>
        <v>18</v>
      </c>
      <c r="K163" s="17">
        <f t="shared" si="26"/>
        <v>0.66666666666666663</v>
      </c>
      <c r="L163">
        <f t="shared" si="25"/>
        <v>0.44444444444444442</v>
      </c>
    </row>
    <row r="164" spans="1:12" ht="50.6" x14ac:dyDescent="0.4">
      <c r="A164" t="s">
        <v>54</v>
      </c>
      <c r="B164" s="10"/>
      <c r="F164" s="15" t="s">
        <v>55</v>
      </c>
      <c r="G164" s="16">
        <v>16</v>
      </c>
      <c r="H164" s="16">
        <v>20</v>
      </c>
      <c r="I164" s="16">
        <v>20</v>
      </c>
      <c r="J164" s="17">
        <f t="shared" si="24"/>
        <v>19.333333333333332</v>
      </c>
      <c r="K164" s="17">
        <f t="shared" si="26"/>
        <v>0.66666666666666663</v>
      </c>
      <c r="L164">
        <f t="shared" si="25"/>
        <v>0.44444444444444442</v>
      </c>
    </row>
    <row r="165" spans="1:12" ht="24.9" x14ac:dyDescent="0.3">
      <c r="F165" s="15" t="s">
        <v>56</v>
      </c>
      <c r="G165" s="16">
        <v>4</v>
      </c>
      <c r="H165" s="16">
        <v>8</v>
      </c>
      <c r="I165" s="16">
        <v>8</v>
      </c>
      <c r="J165" s="17">
        <f t="shared" si="24"/>
        <v>7.333333333333333</v>
      </c>
      <c r="K165" s="17">
        <f t="shared" si="26"/>
        <v>0.66666666666666663</v>
      </c>
      <c r="L165">
        <f t="shared" si="25"/>
        <v>0.44444444444444442</v>
      </c>
    </row>
    <row r="166" spans="1:12" ht="24.9" x14ac:dyDescent="0.3">
      <c r="F166" s="15" t="s">
        <v>57</v>
      </c>
      <c r="G166" s="16">
        <v>44</v>
      </c>
      <c r="H166" s="16">
        <v>60</v>
      </c>
      <c r="I166" s="16">
        <v>52</v>
      </c>
      <c r="J166" s="17">
        <f t="shared" si="24"/>
        <v>52</v>
      </c>
      <c r="K166" s="17">
        <f t="shared" si="26"/>
        <v>2.6666666666666665</v>
      </c>
      <c r="L166">
        <f t="shared" si="25"/>
        <v>7.1111111111111107</v>
      </c>
    </row>
    <row r="167" spans="1:12" ht="37.299999999999997" x14ac:dyDescent="0.3">
      <c r="F167" s="15" t="s">
        <v>58</v>
      </c>
      <c r="G167" s="16">
        <v>16</v>
      </c>
      <c r="H167" s="16">
        <v>24</v>
      </c>
      <c r="I167" s="16">
        <v>20</v>
      </c>
      <c r="J167" s="17">
        <f t="shared" si="24"/>
        <v>20</v>
      </c>
      <c r="K167" s="17">
        <f t="shared" si="26"/>
        <v>1.3333333333333333</v>
      </c>
      <c r="L167">
        <f t="shared" si="25"/>
        <v>1.7777777777777777</v>
      </c>
    </row>
    <row r="168" spans="1:12" ht="24.9" x14ac:dyDescent="0.3">
      <c r="F168" s="15" t="s">
        <v>59</v>
      </c>
      <c r="G168" s="16">
        <v>16</v>
      </c>
      <c r="H168" s="16">
        <v>20</v>
      </c>
      <c r="I168" s="16">
        <v>18</v>
      </c>
      <c r="J168" s="17">
        <f t="shared" si="24"/>
        <v>18</v>
      </c>
      <c r="K168" s="17">
        <f t="shared" si="26"/>
        <v>0.66666666666666663</v>
      </c>
      <c r="L168">
        <f t="shared" si="25"/>
        <v>0.44444444444444442</v>
      </c>
    </row>
    <row r="169" spans="1:12" ht="49.75" x14ac:dyDescent="0.3">
      <c r="F169" s="15" t="s">
        <v>60</v>
      </c>
      <c r="G169" s="16">
        <v>16</v>
      </c>
      <c r="H169" s="16">
        <v>20</v>
      </c>
      <c r="I169" s="16">
        <v>18</v>
      </c>
      <c r="J169" s="17">
        <f t="shared" si="24"/>
        <v>18</v>
      </c>
      <c r="K169" s="17">
        <f t="shared" si="26"/>
        <v>0.66666666666666663</v>
      </c>
      <c r="L169">
        <f t="shared" si="25"/>
        <v>0.44444444444444442</v>
      </c>
    </row>
    <row r="170" spans="1:12" x14ac:dyDescent="0.3">
      <c r="F170" s="15" t="s">
        <v>61</v>
      </c>
      <c r="G170" s="16">
        <v>10</v>
      </c>
      <c r="H170" s="16">
        <v>12</v>
      </c>
      <c r="I170" s="16">
        <v>12</v>
      </c>
      <c r="J170" s="17">
        <f t="shared" si="24"/>
        <v>11.666666666666666</v>
      </c>
      <c r="K170" s="17">
        <f t="shared" si="26"/>
        <v>0.33333333333333331</v>
      </c>
      <c r="L170">
        <f t="shared" si="25"/>
        <v>0.1111111111111111</v>
      </c>
    </row>
    <row r="171" spans="1:12" x14ac:dyDescent="0.3">
      <c r="F171" s="15" t="s">
        <v>62</v>
      </c>
      <c r="G171" s="16">
        <v>128</v>
      </c>
      <c r="H171" s="16">
        <v>188</v>
      </c>
      <c r="I171" s="16">
        <v>150</v>
      </c>
      <c r="J171" s="17">
        <f t="shared" si="24"/>
        <v>152.66666666666666</v>
      </c>
      <c r="K171" s="17">
        <f t="shared" si="26"/>
        <v>10</v>
      </c>
      <c r="L171">
        <f t="shared" si="25"/>
        <v>100</v>
      </c>
    </row>
    <row r="172" spans="1:12" x14ac:dyDescent="0.3">
      <c r="F172" s="15" t="s">
        <v>63</v>
      </c>
      <c r="G172" s="16">
        <v>68</v>
      </c>
      <c r="H172" s="16">
        <v>88</v>
      </c>
      <c r="I172" s="16">
        <v>78</v>
      </c>
      <c r="J172" s="17">
        <f t="shared" si="24"/>
        <v>78</v>
      </c>
      <c r="K172" s="17">
        <f t="shared" si="26"/>
        <v>3.3333333333333335</v>
      </c>
      <c r="L172">
        <f t="shared" si="25"/>
        <v>11.111111111111112</v>
      </c>
    </row>
    <row r="173" spans="1:12" x14ac:dyDescent="0.3">
      <c r="F173" s="15" t="s">
        <v>64</v>
      </c>
      <c r="G173" s="16">
        <v>70</v>
      </c>
      <c r="H173" s="16">
        <v>112</v>
      </c>
      <c r="I173" s="16">
        <v>90</v>
      </c>
      <c r="J173" s="17">
        <f t="shared" si="24"/>
        <v>90.333333333333329</v>
      </c>
      <c r="K173" s="17">
        <f t="shared" si="26"/>
        <v>7</v>
      </c>
      <c r="L173">
        <f t="shared" si="25"/>
        <v>49</v>
      </c>
    </row>
    <row r="174" spans="1:12" x14ac:dyDescent="0.3">
      <c r="F174" s="15" t="s">
        <v>65</v>
      </c>
      <c r="G174" s="16">
        <v>8</v>
      </c>
      <c r="H174" s="16">
        <v>16</v>
      </c>
      <c r="I174" s="16">
        <v>12</v>
      </c>
      <c r="J174" s="17">
        <f t="shared" si="24"/>
        <v>12</v>
      </c>
      <c r="K174" s="17">
        <f t="shared" si="26"/>
        <v>1.3333333333333333</v>
      </c>
      <c r="L174">
        <f t="shared" si="25"/>
        <v>1.7777777777777777</v>
      </c>
    </row>
  </sheetData>
  <mergeCells count="6">
    <mergeCell ref="N16:N17"/>
    <mergeCell ref="P1:Q1"/>
    <mergeCell ref="A5:A10"/>
    <mergeCell ref="B5:B10"/>
    <mergeCell ref="A13:A14"/>
    <mergeCell ref="B13:B14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Nikita</cp:lastModifiedBy>
  <cp:revision>122</cp:revision>
  <dcterms:modified xsi:type="dcterms:W3CDTF">2022-05-19T07:11:49Z</dcterms:modified>
  <dc:language>en-US</dc:language>
</cp:coreProperties>
</file>