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6_Semester\Управление проектами\"/>
    </mc:Choice>
  </mc:AlternateContent>
  <xr:revisionPtr revIDLastSave="0" documentId="13_ncr:1_{63D2D77D-BA44-4DE1-BA7E-3093F294E39D}" xr6:coauthVersionLast="47" xr6:coauthVersionMax="47" xr10:uidLastSave="{00000000-0000-0000-0000-000000000000}"/>
  <bookViews>
    <workbookView xWindow="-103" yWindow="-103" windowWidth="22149" windowHeight="13200" tabRatio="500" xr2:uid="{00000000-000D-0000-FFFF-FFFF00000000}"/>
  </bookViews>
  <sheets>
    <sheet name="Лист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7" i="1" l="1"/>
  <c r="C94" i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B93" i="1"/>
  <c r="B94" i="1" s="1"/>
  <c r="B95" i="1" s="1"/>
  <c r="B96" i="1" s="1"/>
  <c r="B97" i="1" s="1"/>
  <c r="B98" i="1" s="1"/>
  <c r="B99" i="1" s="1"/>
  <c r="L74" i="1"/>
  <c r="L72" i="1"/>
  <c r="M72" i="1" s="1"/>
  <c r="A39" i="1"/>
  <c r="C45" i="1" s="1"/>
  <c r="A34" i="1"/>
  <c r="Q30" i="1"/>
  <c r="L32" i="1" s="1"/>
  <c r="J28" i="1"/>
  <c r="F28" i="1"/>
  <c r="B28" i="1"/>
  <c r="D28" i="1" s="1"/>
  <c r="F27" i="1"/>
  <c r="B27" i="1"/>
  <c r="D27" i="1" s="1"/>
  <c r="F26" i="1"/>
  <c r="B26" i="1" s="1"/>
  <c r="D26" i="1" s="1"/>
  <c r="F25" i="1"/>
  <c r="B25" i="1"/>
  <c r="D25" i="1" s="1"/>
  <c r="F24" i="1"/>
  <c r="B24" i="1"/>
  <c r="D24" i="1" s="1"/>
  <c r="F23" i="1"/>
  <c r="B23" i="1"/>
  <c r="D23" i="1" s="1"/>
  <c r="F22" i="1"/>
  <c r="B22" i="1"/>
  <c r="D22" i="1" s="1"/>
  <c r="F21" i="1"/>
  <c r="B21" i="1" s="1"/>
  <c r="D21" i="1" s="1"/>
  <c r="F20" i="1"/>
  <c r="B20" i="1"/>
  <c r="D20" i="1" s="1"/>
  <c r="F19" i="1"/>
  <c r="B19" i="1"/>
  <c r="D19" i="1" s="1"/>
  <c r="F18" i="1"/>
  <c r="B18" i="1" s="1"/>
  <c r="D18" i="1" s="1"/>
  <c r="F17" i="1"/>
  <c r="B17" i="1"/>
  <c r="D17" i="1" s="1"/>
  <c r="F16" i="1"/>
  <c r="B16" i="1"/>
  <c r="D16" i="1" s="1"/>
  <c r="F15" i="1"/>
  <c r="B15" i="1"/>
  <c r="D15" i="1" s="1"/>
  <c r="F14" i="1"/>
  <c r="B14" i="1"/>
  <c r="D14" i="1" s="1"/>
  <c r="F13" i="1"/>
  <c r="B13" i="1" s="1"/>
  <c r="D13" i="1" s="1"/>
  <c r="F12" i="1"/>
  <c r="B12" i="1"/>
  <c r="D12" i="1" s="1"/>
  <c r="F11" i="1"/>
  <c r="B11" i="1"/>
  <c r="D11" i="1" s="1"/>
  <c r="F10" i="1"/>
  <c r="B10" i="1"/>
  <c r="D10" i="1" s="1"/>
  <c r="F9" i="1"/>
  <c r="B9" i="1" s="1"/>
  <c r="D9" i="1" s="1"/>
  <c r="F8" i="1"/>
  <c r="B8" i="1"/>
  <c r="D8" i="1" s="1"/>
  <c r="P7" i="1"/>
  <c r="O7" i="1"/>
  <c r="N7" i="1"/>
  <c r="M7" i="1"/>
  <c r="F7" i="1"/>
  <c r="B7" i="1"/>
  <c r="D7" i="1" s="1"/>
  <c r="O6" i="1"/>
  <c r="N6" i="1"/>
  <c r="M6" i="1"/>
  <c r="P6" i="1" s="1"/>
  <c r="F6" i="1"/>
  <c r="B6" i="1" s="1"/>
  <c r="D6" i="1" s="1"/>
  <c r="O5" i="1"/>
  <c r="N5" i="1"/>
  <c r="M5" i="1"/>
  <c r="P5" i="1" s="1"/>
  <c r="F5" i="1"/>
  <c r="B5" i="1" s="1"/>
  <c r="D5" i="1" s="1"/>
  <c r="O4" i="1"/>
  <c r="N4" i="1"/>
  <c r="M4" i="1"/>
  <c r="P4" i="1" s="1"/>
  <c r="F4" i="1"/>
  <c r="B4" i="1" s="1"/>
  <c r="O3" i="1"/>
  <c r="N3" i="1"/>
  <c r="M3" i="1"/>
  <c r="P3" i="1" s="1"/>
  <c r="F3" i="1"/>
  <c r="B3" i="1"/>
  <c r="D3" i="1" s="1"/>
  <c r="O2" i="1"/>
  <c r="J8" i="1" s="1"/>
  <c r="N2" i="1"/>
  <c r="M2" i="1"/>
  <c r="P2" i="1" s="1"/>
  <c r="J9" i="1" s="1"/>
  <c r="H2" i="1"/>
  <c r="F2" i="1"/>
  <c r="B2" i="1"/>
  <c r="D4" i="1" l="1"/>
  <c r="C36" i="1"/>
  <c r="C44" i="1" s="1"/>
  <c r="D34" i="1"/>
  <c r="B34" i="1"/>
  <c r="B100" i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L34" i="1"/>
  <c r="L33" i="1"/>
  <c r="J10" i="1"/>
  <c r="K10" i="1" s="1"/>
  <c r="J11" i="1" s="1"/>
  <c r="C39" i="1" l="1"/>
  <c r="C46" i="1" s="1"/>
  <c r="C42" i="1"/>
  <c r="A36" i="1"/>
  <c r="C43" i="1" s="1"/>
</calcChain>
</file>

<file path=xl/sharedStrings.xml><?xml version="1.0" encoding="utf-8"?>
<sst xmlns="http://schemas.openxmlformats.org/spreadsheetml/2006/main" count="186" uniqueCount="145">
  <si>
    <t>период (1 мес)</t>
  </si>
  <si>
    <t>денежный поток</t>
  </si>
  <si>
    <t>Дисконт</t>
  </si>
  <si>
    <t>чдд</t>
  </si>
  <si>
    <t>количество покупок</t>
  </si>
  <si>
    <t>количество подписок</t>
  </si>
  <si>
    <t>Расходы</t>
  </si>
  <si>
    <t>Столбец1</t>
  </si>
  <si>
    <t>минимальные</t>
  </si>
  <si>
    <t>наиболее вер</t>
  </si>
  <si>
    <t>максимальные</t>
  </si>
  <si>
    <t>средняя</t>
  </si>
  <si>
    <t>квадр откл</t>
  </si>
  <si>
    <t>Ei</t>
  </si>
  <si>
    <t>СКО^2</t>
  </si>
  <si>
    <t>Столбец2</t>
  </si>
  <si>
    <t>Столбец3</t>
  </si>
  <si>
    <t>ТЗ</t>
  </si>
  <si>
    <t>обучение</t>
  </si>
  <si>
    <t>дизайн</t>
  </si>
  <si>
    <t>back-end</t>
  </si>
  <si>
    <t>альфа тест</t>
  </si>
  <si>
    <t>бета тест</t>
  </si>
  <si>
    <t>E=</t>
  </si>
  <si>
    <t>суммарная трудоёмкость</t>
  </si>
  <si>
    <t>CKO</t>
  </si>
  <si>
    <t>суммарнноу средн квадр отклонение</t>
  </si>
  <si>
    <t>e95%=</t>
  </si>
  <si>
    <t>PERT</t>
  </si>
  <si>
    <t>Т</t>
  </si>
  <si>
    <t>точки</t>
  </si>
  <si>
    <t xml:space="preserve">Обмен данными </t>
  </si>
  <si>
    <t>тип оценки</t>
  </si>
  <si>
    <t>проект разработки</t>
  </si>
  <si>
    <t>Распределенная обработка данных</t>
  </si>
  <si>
    <t>Производительност</t>
  </si>
  <si>
    <t>Сложность данных</t>
  </si>
  <si>
    <t>Количество UFP (ILF)</t>
  </si>
  <si>
    <t>Количество UFP (EIF)</t>
  </si>
  <si>
    <t>Ограничения по аппаратным ресурсам</t>
  </si>
  <si>
    <t>Низкая</t>
  </si>
  <si>
    <t>Транзакционная нагрузка</t>
  </si>
  <si>
    <t>Средняя</t>
  </si>
  <si>
    <t>Интенсивность взаимодействия с пользователем</t>
  </si>
  <si>
    <t>Высокая</t>
  </si>
  <si>
    <t>Эргономика</t>
  </si>
  <si>
    <t>Интенсивность изменения данных (ILF) пользователями</t>
  </si>
  <si>
    <t>Сложность транзакций</t>
  </si>
  <si>
    <t>Количество UFP (EO EQ)</t>
  </si>
  <si>
    <t>Количество UFP (EO)</t>
  </si>
  <si>
    <t>Сложность обработк</t>
  </si>
  <si>
    <t>Повторное использование</t>
  </si>
  <si>
    <t>Удобство инсталляции</t>
  </si>
  <si>
    <t>Удобство администрирования</t>
  </si>
  <si>
    <t>Портируемость</t>
  </si>
  <si>
    <t>UFP</t>
  </si>
  <si>
    <t>Гибкость</t>
  </si>
  <si>
    <t>суммарное количество невыровненных функциональных точек</t>
  </si>
  <si>
    <t>total infl degree</t>
  </si>
  <si>
    <t>TDI</t>
  </si>
  <si>
    <t>ЦЕНА ПОКУПКИ</t>
  </si>
  <si>
    <t>ЦЕНА ПОДПИСКИ</t>
  </si>
  <si>
    <t>эквивалентн сумма денег через период времени</t>
  </si>
  <si>
    <t>фактор выравнивания</t>
  </si>
  <si>
    <t>VAF=</t>
  </si>
  <si>
    <t>БС</t>
  </si>
  <si>
    <t>выровненные фт</t>
  </si>
  <si>
    <t>AFP=</t>
  </si>
  <si>
    <t>development func point</t>
  </si>
  <si>
    <t>DFP</t>
  </si>
  <si>
    <t>ИД</t>
  </si>
  <si>
    <t>ВНД</t>
  </si>
  <si>
    <t>СО (лет)</t>
  </si>
  <si>
    <t>КЭИ</t>
  </si>
  <si>
    <t>COMOCO II</t>
  </si>
  <si>
    <t>Язык</t>
  </si>
  <si>
    <t>Наиболее</t>
  </si>
  <si>
    <t>Оптимистичная</t>
  </si>
  <si>
    <t>Пессимистичная</t>
  </si>
  <si>
    <t>программирования</t>
  </si>
  <si>
    <t>вероятная</t>
  </si>
  <si>
    <t>Чистый дисконтированный доход</t>
  </si>
  <si>
    <t>PHP</t>
  </si>
  <si>
    <t>Индекс доходности</t>
  </si>
  <si>
    <t>JAVASCRIPT</t>
  </si>
  <si>
    <t>Внутренняя норма доходности</t>
  </si>
  <si>
    <t>HTML</t>
  </si>
  <si>
    <t>Срок окупаемосли</t>
  </si>
  <si>
    <t>C#</t>
  </si>
  <si>
    <t>Коэффициент эффективности инвестиций</t>
  </si>
  <si>
    <t>№</t>
  </si>
  <si>
    <t>Множитель трудоемкости,</t>
  </si>
  <si>
    <t>Описание</t>
  </si>
  <si>
    <t>Оценка уровня множителя трудоемкости</t>
  </si>
  <si>
    <t>Супер низкий</t>
  </si>
  <si>
    <t>Очень низкий</t>
  </si>
  <si>
    <t>Низкий</t>
  </si>
  <si>
    <t>Нормальный</t>
  </si>
  <si>
    <t>Высокий</t>
  </si>
  <si>
    <t>Очень высокий</t>
  </si>
  <si>
    <t>Супер высокий</t>
  </si>
  <si>
    <t>PERS</t>
  </si>
  <si>
    <t>квалификация персонала</t>
  </si>
  <si>
    <t>1.00</t>
  </si>
  <si>
    <t>0.83</t>
  </si>
  <si>
    <t>0.63</t>
  </si>
  <si>
    <t>0.50</t>
  </si>
  <si>
    <t>PREX</t>
  </si>
  <si>
    <t>опыт персонала</t>
  </si>
  <si>
    <t>0.87</t>
  </si>
  <si>
    <t>0.74</t>
  </si>
  <si>
    <t>0.62</t>
  </si>
  <si>
    <t>RCPX</t>
  </si>
  <si>
    <t>сложность и надежность продукта</t>
  </si>
  <si>
    <t>0.60</t>
  </si>
  <si>
    <t>RUSE</t>
  </si>
  <si>
    <t>разработка для повторного использования</t>
  </si>
  <si>
    <t>n/a</t>
  </si>
  <si>
    <t>0.95</t>
  </si>
  <si>
    <t>PDIF</t>
  </si>
  <si>
    <t>сложность платформы разработки</t>
  </si>
  <si>
    <t>FCIL</t>
  </si>
  <si>
    <t>оборудование</t>
  </si>
  <si>
    <t>0.73</t>
  </si>
  <si>
    <t>CSED</t>
  </si>
  <si>
    <t>требуемое выполнение графика работ</t>
  </si>
  <si>
    <t>Оценка уровня фактора</t>
  </si>
  <si>
    <t>Средний</t>
  </si>
  <si>
    <t>Критический</t>
  </si>
  <si>
    <t>PREC</t>
  </si>
  <si>
    <t>0.00</t>
  </si>
  <si>
    <t>FLEX</t>
  </si>
  <si>
    <t>RESL</t>
  </si>
  <si>
    <t>TEAM</t>
  </si>
  <si>
    <t>PMAT</t>
  </si>
  <si>
    <t>множители трудоёмкости</t>
  </si>
  <si>
    <t>чел час</t>
  </si>
  <si>
    <t>чел месяц</t>
  </si>
  <si>
    <t>PM</t>
  </si>
  <si>
    <t>трудоёмкость проекта</t>
  </si>
  <si>
    <t>Е</t>
  </si>
  <si>
    <t>факторы масштаба</t>
  </si>
  <si>
    <t>Месяц</t>
  </si>
  <si>
    <t>Бюджет</t>
  </si>
  <si>
    <t>Остаток по кредиту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</si>
</sst>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1"/>
      <color rgb="FFFFFFFF"/>
      <name val="Calibri"/>
      <family val="2"/>
      <charset val="204"/>
    </font>
    <font>
      <i/>
      <sz val="11"/>
      <color rgb="FF7F7F7F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EDEDED"/>
        <bgColor rgb="FFFFFFFF"/>
      </patternFill>
    </fill>
    <fill>
      <patternFill patternType="solid">
        <fgColor rgb="FF77BC65"/>
        <bgColor rgb="FF99CC00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4" fillId="3" borderId="0" applyBorder="0" applyProtection="0"/>
    <xf numFmtId="0" fontId="3" fillId="0" borderId="0" applyBorder="0" applyProtection="0"/>
  </cellStyleXfs>
  <cellXfs count="48">
    <xf numFmtId="0" fontId="0" fillId="0" borderId="0" xfId="0"/>
    <xf numFmtId="0" fontId="3" fillId="0" borderId="0" xfId="3" applyFont="1" applyBorder="1" applyAlignment="1" applyProtection="1"/>
    <xf numFmtId="0" fontId="3" fillId="0" borderId="0" xfId="3" applyBorder="1" applyAlignment="1" applyProtection="1"/>
    <xf numFmtId="0" fontId="0" fillId="0" borderId="0" xfId="0" applyFont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9" fontId="0" fillId="0" borderId="0" xfId="0" applyNumberFormat="1"/>
    <xf numFmtId="1" fontId="0" fillId="0" borderId="0" xfId="0" applyNumberFormat="1"/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1" xfId="0" applyBorder="1"/>
    <xf numFmtId="0" fontId="0" fillId="0" borderId="5" xfId="0" applyBorder="1"/>
    <xf numFmtId="0" fontId="1" fillId="0" borderId="0" xfId="0" applyFont="1" applyBorder="1" applyAlignment="1">
      <alignment horizontal="justify" vertical="center" wrapText="1"/>
    </xf>
    <xf numFmtId="0" fontId="2" fillId="4" borderId="0" xfId="1" applyFont="1" applyFill="1" applyBorder="1" applyAlignment="1" applyProtection="1"/>
    <xf numFmtId="0" fontId="0" fillId="3" borderId="0" xfId="2" applyFont="1" applyBorder="1" applyAlignment="1" applyProtection="1"/>
    <xf numFmtId="0" fontId="0" fillId="3" borderId="12" xfId="2" applyFont="1" applyBorder="1" applyAlignment="1" applyProtection="1"/>
    <xf numFmtId="0" fontId="4" fillId="3" borderId="13" xfId="2" applyBorder="1" applyAlignment="1" applyProtection="1"/>
    <xf numFmtId="0" fontId="4" fillId="3" borderId="14" xfId="2" applyBorder="1" applyAlignment="1" applyProtection="1"/>
    <xf numFmtId="0" fontId="0" fillId="3" borderId="15" xfId="2" applyFont="1" applyBorder="1" applyAlignment="1" applyProtection="1"/>
    <xf numFmtId="0" fontId="4" fillId="3" borderId="16" xfId="2" applyBorder="1" applyAlignment="1" applyProtection="1"/>
    <xf numFmtId="0" fontId="4" fillId="3" borderId="17" xfId="2" applyBorder="1" applyAlignment="1" applyProtection="1"/>
    <xf numFmtId="0" fontId="0" fillId="3" borderId="18" xfId="2" applyFont="1" applyBorder="1" applyAlignment="1" applyProtection="1"/>
    <xf numFmtId="0" fontId="4" fillId="3" borderId="19" xfId="2" applyBorder="1" applyAlignment="1" applyProtection="1"/>
    <xf numFmtId="0" fontId="4" fillId="3" borderId="20" xfId="2" applyBorder="1" applyAlignment="1" applyProtection="1"/>
    <xf numFmtId="0" fontId="4" fillId="3" borderId="21" xfId="2" applyBorder="1" applyAlignment="1" applyProtection="1"/>
    <xf numFmtId="0" fontId="0" fillId="3" borderId="22" xfId="2" applyFont="1" applyBorder="1" applyAlignment="1" applyProtection="1"/>
    <xf numFmtId="0" fontId="4" fillId="3" borderId="23" xfId="2" applyBorder="1" applyAlignment="1" applyProtection="1"/>
    <xf numFmtId="0" fontId="4" fillId="3" borderId="24" xfId="2" applyBorder="1" applyAlignment="1" applyProtection="1"/>
    <xf numFmtId="0" fontId="3" fillId="0" borderId="0" xfId="3" applyFont="1" applyBorder="1" applyAlignment="1" applyProtection="1"/>
    <xf numFmtId="0" fontId="4" fillId="3" borderId="25" xfId="2" applyBorder="1" applyAlignment="1" applyProtection="1"/>
    <xf numFmtId="10" fontId="3" fillId="0" borderId="0" xfId="3" applyNumberFormat="1" applyBorder="1" applyAlignment="1" applyProtection="1"/>
    <xf numFmtId="10" fontId="0" fillId="0" borderId="0" xfId="0" applyNumberFormat="1"/>
    <xf numFmtId="0" fontId="0" fillId="0" borderId="26" xfId="0" applyFont="1" applyBorder="1"/>
    <xf numFmtId="0" fontId="0" fillId="0" borderId="27" xfId="0" applyBorder="1"/>
    <xf numFmtId="0" fontId="0" fillId="0" borderId="28" xfId="0" applyFont="1" applyBorder="1"/>
    <xf numFmtId="0" fontId="0" fillId="0" borderId="29" xfId="0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Border="1"/>
  </cellXfs>
  <cellStyles count="4">
    <cellStyle name="Excel Built-in 20% - Accent3" xfId="2" xr:uid="{00000000-0005-0000-0000-000007000000}"/>
    <cellStyle name="Excel Built-in Accent2" xfId="1" xr:uid="{00000000-0005-0000-0000-000006000000}"/>
    <cellStyle name="Excel Built-in Explanatory Text" xfId="3" xr:uid="{00000000-0005-0000-0000-000008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EDEDE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Остаток по кредиту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Лист1!$B$92</c:f>
              <c:strCache>
                <c:ptCount val="1"/>
                <c:pt idx="0">
                  <c:v>Бюджет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Лист1!$A$93:$A$117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Лист1!$B$93:$B$117</c:f>
              <c:numCache>
                <c:formatCode>General</c:formatCode>
                <c:ptCount val="25"/>
                <c:pt idx="0">
                  <c:v>420000</c:v>
                </c:pt>
                <c:pt idx="1">
                  <c:v>378333</c:v>
                </c:pt>
                <c:pt idx="2">
                  <c:v>336666</c:v>
                </c:pt>
                <c:pt idx="3">
                  <c:v>294999</c:v>
                </c:pt>
                <c:pt idx="4">
                  <c:v>253332</c:v>
                </c:pt>
                <c:pt idx="5">
                  <c:v>211665</c:v>
                </c:pt>
                <c:pt idx="6">
                  <c:v>216123</c:v>
                </c:pt>
                <c:pt idx="7">
                  <c:v>1159456</c:v>
                </c:pt>
                <c:pt idx="8">
                  <c:v>3625289</c:v>
                </c:pt>
                <c:pt idx="9">
                  <c:v>6598622</c:v>
                </c:pt>
                <c:pt idx="10">
                  <c:v>9318205</c:v>
                </c:pt>
                <c:pt idx="11">
                  <c:v>12342288</c:v>
                </c:pt>
                <c:pt idx="12">
                  <c:v>15214121</c:v>
                </c:pt>
                <c:pt idx="13">
                  <c:v>18035204</c:v>
                </c:pt>
                <c:pt idx="14">
                  <c:v>19414537</c:v>
                </c:pt>
                <c:pt idx="15">
                  <c:v>20540120</c:v>
                </c:pt>
                <c:pt idx="16">
                  <c:v>22802953</c:v>
                </c:pt>
                <c:pt idx="17">
                  <c:v>25319536</c:v>
                </c:pt>
                <c:pt idx="18">
                  <c:v>28292869</c:v>
                </c:pt>
                <c:pt idx="19">
                  <c:v>31266202</c:v>
                </c:pt>
                <c:pt idx="20">
                  <c:v>33985785</c:v>
                </c:pt>
                <c:pt idx="21">
                  <c:v>37009868</c:v>
                </c:pt>
                <c:pt idx="22">
                  <c:v>39272701</c:v>
                </c:pt>
                <c:pt idx="23">
                  <c:v>41789284</c:v>
                </c:pt>
                <c:pt idx="24">
                  <c:v>44762617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A-4F4E-9DBD-F486A4220FB3}"/>
            </c:ext>
          </c:extLst>
        </c:ser>
        <c:ser>
          <c:idx val="1"/>
          <c:order val="1"/>
          <c:tx>
            <c:strRef>
              <c:f>Лист1!$C$92</c:f>
              <c:strCache>
                <c:ptCount val="1"/>
                <c:pt idx="0">
                  <c:v>Остаток по кредиту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Лист1!$A$93:$A$117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Лист1!$C$93:$C$117</c:f>
              <c:numCache>
                <c:formatCode>General</c:formatCode>
                <c:ptCount val="25"/>
                <c:pt idx="0">
                  <c:v>1000000</c:v>
                </c:pt>
                <c:pt idx="1">
                  <c:v>958333</c:v>
                </c:pt>
                <c:pt idx="2">
                  <c:v>916666</c:v>
                </c:pt>
                <c:pt idx="3">
                  <c:v>874999</c:v>
                </c:pt>
                <c:pt idx="4">
                  <c:v>833332</c:v>
                </c:pt>
                <c:pt idx="5">
                  <c:v>791665</c:v>
                </c:pt>
                <c:pt idx="6">
                  <c:v>749998</c:v>
                </c:pt>
                <c:pt idx="7">
                  <c:v>708331</c:v>
                </c:pt>
                <c:pt idx="8">
                  <c:v>666664</c:v>
                </c:pt>
                <c:pt idx="9">
                  <c:v>624997</c:v>
                </c:pt>
                <c:pt idx="10">
                  <c:v>583330</c:v>
                </c:pt>
                <c:pt idx="11">
                  <c:v>541663</c:v>
                </c:pt>
                <c:pt idx="12">
                  <c:v>499996</c:v>
                </c:pt>
                <c:pt idx="13">
                  <c:v>458329</c:v>
                </c:pt>
                <c:pt idx="14">
                  <c:v>416662</c:v>
                </c:pt>
                <c:pt idx="15">
                  <c:v>374995</c:v>
                </c:pt>
                <c:pt idx="16">
                  <c:v>333328</c:v>
                </c:pt>
                <c:pt idx="17">
                  <c:v>291661</c:v>
                </c:pt>
                <c:pt idx="18">
                  <c:v>249994</c:v>
                </c:pt>
                <c:pt idx="19">
                  <c:v>208327</c:v>
                </c:pt>
                <c:pt idx="20">
                  <c:v>166660</c:v>
                </c:pt>
                <c:pt idx="21">
                  <c:v>124993</c:v>
                </c:pt>
                <c:pt idx="22">
                  <c:v>83326</c:v>
                </c:pt>
                <c:pt idx="23">
                  <c:v>41659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A-4F4E-9DBD-F486A422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5965155"/>
        <c:axId val="64847619"/>
      </c:lineChart>
      <c:catAx>
        <c:axId val="259651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4847619"/>
        <c:crosses val="autoZero"/>
        <c:auto val="1"/>
        <c:lblAlgn val="ctr"/>
        <c:lblOffset val="100"/>
        <c:noMultiLvlLbl val="0"/>
      </c:catAx>
      <c:valAx>
        <c:axId val="648476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in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5965155"/>
        <c:crosses val="autoZero"/>
        <c:crossBetween val="between"/>
        <c:dispUnits>
          <c:builtInUnit val="thousands"/>
          <c:dispUnitsLbl/>
        </c:dispUnits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520200</xdr:colOff>
      <xdr:row>56</xdr:row>
      <xdr:rowOff>146160</xdr:rowOff>
    </xdr:from>
    <xdr:to>
      <xdr:col>7</xdr:col>
      <xdr:colOff>673920</xdr:colOff>
      <xdr:row>57</xdr:row>
      <xdr:rowOff>139320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737000" y="11047680"/>
          <a:ext cx="153720" cy="168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31128</xdr:colOff>
      <xdr:row>91</xdr:row>
      <xdr:rowOff>2467</xdr:rowOff>
    </xdr:from>
    <xdr:to>
      <xdr:col>7</xdr:col>
      <xdr:colOff>1237470</xdr:colOff>
      <xdr:row>113</xdr:row>
      <xdr:rowOff>76627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I1:R12" totalsRowShown="0">
  <autoFilter ref="I1:R12" xr:uid="{00000000-0009-0000-0100-000001000000}"/>
  <tableColumns count="10">
    <tableColumn id="1" xr3:uid="{00000000-0010-0000-0000-000001000000}" name="Столбец1"/>
    <tableColumn id="2" xr3:uid="{00000000-0010-0000-0000-000002000000}" name="минимальные"/>
    <tableColumn id="3" xr3:uid="{00000000-0010-0000-0000-000003000000}" name="наиболее вер"/>
    <tableColumn id="4" xr3:uid="{00000000-0010-0000-0000-000004000000}" name="максимальные"/>
    <tableColumn id="5" xr3:uid="{00000000-0010-0000-0000-000005000000}" name="средняя"/>
    <tableColumn id="6" xr3:uid="{00000000-0010-0000-0000-000006000000}" name="квадр откл"/>
    <tableColumn id="7" xr3:uid="{00000000-0010-0000-0000-000007000000}" name="Ei"/>
    <tableColumn id="8" xr3:uid="{00000000-0010-0000-0000-000008000000}" name="СКО^2"/>
    <tableColumn id="9" xr3:uid="{00000000-0010-0000-0000-000009000000}" name="Столбец2"/>
    <tableColumn id="10" xr3:uid="{00000000-0010-0000-0000-00000A000000}" name="Столбец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7"/>
  <sheetViews>
    <sheetView tabSelected="1" zoomScale="48" zoomScaleNormal="110" workbookViewId="0">
      <selection activeCell="D102" sqref="D102"/>
    </sheetView>
  </sheetViews>
  <sheetFormatPr defaultColWidth="8.69140625" defaultRowHeight="14.6" x14ac:dyDescent="0.4"/>
  <cols>
    <col min="1" max="1" width="18.15234375" customWidth="1"/>
    <col min="2" max="2" width="19.15234375" customWidth="1"/>
    <col min="3" max="3" width="18.53515625" customWidth="1"/>
    <col min="4" max="4" width="22.4609375" customWidth="1"/>
    <col min="5" max="5" width="21.07421875" customWidth="1"/>
    <col min="6" max="6" width="23" customWidth="1"/>
    <col min="7" max="7" width="22.4609375" customWidth="1"/>
    <col min="8" max="8" width="23.84375" customWidth="1"/>
    <col min="9" max="9" width="22.15234375" customWidth="1"/>
    <col min="10" max="10" width="26.921875" customWidth="1"/>
    <col min="11" max="11" width="40.69140625" customWidth="1"/>
    <col min="12" max="12" width="39.921875" customWidth="1"/>
    <col min="13" max="13" width="51.921875" customWidth="1"/>
    <col min="14" max="14" width="20.84375" customWidth="1"/>
    <col min="15" max="16" width="17.69140625" customWidth="1"/>
    <col min="17" max="17" width="27.23046875" customWidth="1"/>
  </cols>
  <sheetData>
    <row r="1" spans="1:18" ht="24" customHeigh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3" t="s">
        <v>15</v>
      </c>
      <c r="R1" s="3" t="s">
        <v>16</v>
      </c>
    </row>
    <row r="2" spans="1:18" ht="24" customHeight="1" x14ac:dyDescent="0.4">
      <c r="A2">
        <v>0</v>
      </c>
      <c r="B2">
        <f t="shared" ref="B2:B28" si="0">E2*$F$32+F2*$G$32-G2</f>
        <v>-100000</v>
      </c>
      <c r="C2" s="7">
        <v>0.1</v>
      </c>
      <c r="D2">
        <v>-5700000</v>
      </c>
      <c r="E2">
        <v>0</v>
      </c>
      <c r="F2" s="8">
        <f t="shared" ref="F2:F28" si="1">E2*0.015</f>
        <v>0</v>
      </c>
      <c r="G2">
        <v>100000</v>
      </c>
      <c r="H2">
        <f>SUM(G2:G12)</f>
        <v>310000</v>
      </c>
      <c r="I2" s="9" t="s">
        <v>17</v>
      </c>
      <c r="J2" s="10">
        <v>1</v>
      </c>
      <c r="K2" s="10">
        <v>6</v>
      </c>
      <c r="L2" s="10">
        <v>8</v>
      </c>
      <c r="M2" s="11">
        <f t="shared" ref="M2:M7" si="2">AVERAGE(J2:L2)</f>
        <v>5</v>
      </c>
      <c r="N2" s="12">
        <f t="shared" ref="N2:N7" si="3">(L2-J2)/6</f>
        <v>1.1666666666666667</v>
      </c>
      <c r="O2" s="12">
        <f t="shared" ref="O2:O7" si="4">(L2+4*K2+J2)/6</f>
        <v>5.5</v>
      </c>
      <c r="P2" s="13">
        <f t="shared" ref="P2:P7" si="5">M2*M2</f>
        <v>25</v>
      </c>
    </row>
    <row r="3" spans="1:18" ht="24" customHeight="1" x14ac:dyDescent="0.4">
      <c r="A3">
        <v>1</v>
      </c>
      <c r="B3">
        <f t="shared" si="0"/>
        <v>0</v>
      </c>
      <c r="C3" s="7">
        <v>0.1</v>
      </c>
      <c r="D3">
        <f t="shared" ref="D3:D12" si="6">B3*0.9</f>
        <v>0</v>
      </c>
      <c r="E3">
        <v>0</v>
      </c>
      <c r="F3" s="8">
        <f t="shared" si="1"/>
        <v>0</v>
      </c>
      <c r="G3">
        <v>0</v>
      </c>
      <c r="I3" s="9" t="s">
        <v>18</v>
      </c>
      <c r="J3" s="10">
        <v>75</v>
      </c>
      <c r="K3" s="10">
        <v>250</v>
      </c>
      <c r="L3" s="10">
        <v>300</v>
      </c>
      <c r="M3" s="14">
        <f t="shared" si="2"/>
        <v>208.33333333333334</v>
      </c>
      <c r="N3" s="15">
        <f t="shared" si="3"/>
        <v>37.5</v>
      </c>
      <c r="O3" s="16">
        <f t="shared" si="4"/>
        <v>229.16666666666666</v>
      </c>
      <c r="P3" s="17">
        <f t="shared" si="5"/>
        <v>43402.777777777781</v>
      </c>
    </row>
    <row r="4" spans="1:18" ht="24" customHeight="1" x14ac:dyDescent="0.4">
      <c r="A4">
        <v>2</v>
      </c>
      <c r="B4">
        <f t="shared" si="0"/>
        <v>0</v>
      </c>
      <c r="C4" s="7">
        <v>0.1</v>
      </c>
      <c r="D4">
        <f t="shared" si="6"/>
        <v>0</v>
      </c>
      <c r="E4">
        <v>0</v>
      </c>
      <c r="F4" s="8">
        <f t="shared" si="1"/>
        <v>0</v>
      </c>
      <c r="G4">
        <v>0</v>
      </c>
      <c r="I4" s="9" t="s">
        <v>19</v>
      </c>
      <c r="J4" s="10">
        <v>25</v>
      </c>
      <c r="K4" s="10">
        <v>50</v>
      </c>
      <c r="L4" s="10">
        <v>92</v>
      </c>
      <c r="M4" s="14">
        <f t="shared" si="2"/>
        <v>55.666666666666664</v>
      </c>
      <c r="N4" s="15">
        <f t="shared" si="3"/>
        <v>11.166666666666666</v>
      </c>
      <c r="O4" s="12">
        <f t="shared" si="4"/>
        <v>52.833333333333336</v>
      </c>
      <c r="P4" s="17">
        <f t="shared" si="5"/>
        <v>3098.7777777777774</v>
      </c>
    </row>
    <row r="5" spans="1:18" ht="24" customHeight="1" x14ac:dyDescent="0.4">
      <c r="A5">
        <v>3</v>
      </c>
      <c r="B5">
        <f t="shared" si="0"/>
        <v>0</v>
      </c>
      <c r="C5" s="7">
        <v>0.1</v>
      </c>
      <c r="D5">
        <f t="shared" si="6"/>
        <v>0</v>
      </c>
      <c r="E5">
        <v>0</v>
      </c>
      <c r="F5" s="8">
        <f t="shared" si="1"/>
        <v>0</v>
      </c>
      <c r="G5">
        <v>0</v>
      </c>
      <c r="I5" s="9" t="s">
        <v>20</v>
      </c>
      <c r="J5" s="10">
        <v>150</v>
      </c>
      <c r="K5" s="10">
        <v>320</v>
      </c>
      <c r="L5" s="10">
        <v>410</v>
      </c>
      <c r="M5" s="14">
        <f t="shared" si="2"/>
        <v>293.33333333333331</v>
      </c>
      <c r="N5" s="15">
        <f t="shared" si="3"/>
        <v>43.333333333333336</v>
      </c>
      <c r="O5" s="15">
        <f t="shared" si="4"/>
        <v>306.66666666666669</v>
      </c>
      <c r="P5" s="17">
        <f t="shared" si="5"/>
        <v>86044.444444444438</v>
      </c>
    </row>
    <row r="6" spans="1:18" ht="24" customHeight="1" x14ac:dyDescent="0.4">
      <c r="A6">
        <v>4</v>
      </c>
      <c r="B6">
        <f t="shared" si="0"/>
        <v>-24925</v>
      </c>
      <c r="C6" s="7">
        <v>0.1</v>
      </c>
      <c r="D6">
        <f t="shared" si="6"/>
        <v>-22432.5</v>
      </c>
      <c r="E6">
        <v>100</v>
      </c>
      <c r="F6" s="8">
        <f t="shared" si="1"/>
        <v>1.5</v>
      </c>
      <c r="G6">
        <v>30000</v>
      </c>
      <c r="I6" s="9" t="s">
        <v>21</v>
      </c>
      <c r="J6" s="10">
        <v>100</v>
      </c>
      <c r="K6" s="10">
        <v>150</v>
      </c>
      <c r="L6" s="10">
        <v>200</v>
      </c>
      <c r="M6" s="14">
        <f t="shared" si="2"/>
        <v>150</v>
      </c>
      <c r="N6" s="15">
        <f t="shared" si="3"/>
        <v>16.666666666666668</v>
      </c>
      <c r="O6" s="15">
        <f t="shared" si="4"/>
        <v>150</v>
      </c>
      <c r="P6" s="17">
        <f t="shared" si="5"/>
        <v>22500</v>
      </c>
    </row>
    <row r="7" spans="1:18" ht="24" customHeight="1" x14ac:dyDescent="0.4">
      <c r="A7">
        <v>5</v>
      </c>
      <c r="B7">
        <f t="shared" si="0"/>
        <v>-14775</v>
      </c>
      <c r="C7" s="7">
        <v>0.1</v>
      </c>
      <c r="D7">
        <f t="shared" si="6"/>
        <v>-13297.5</v>
      </c>
      <c r="E7">
        <v>300</v>
      </c>
      <c r="F7" s="8">
        <f t="shared" si="1"/>
        <v>4.5</v>
      </c>
      <c r="G7">
        <v>30000</v>
      </c>
      <c r="I7" s="4" t="s">
        <v>22</v>
      </c>
      <c r="J7" s="10">
        <v>120</v>
      </c>
      <c r="K7" s="10">
        <v>180</v>
      </c>
      <c r="L7" s="10">
        <v>240</v>
      </c>
      <c r="M7" s="18">
        <f t="shared" si="2"/>
        <v>180</v>
      </c>
      <c r="N7" s="16">
        <f t="shared" si="3"/>
        <v>20</v>
      </c>
      <c r="O7" s="16">
        <f t="shared" si="4"/>
        <v>180</v>
      </c>
      <c r="P7" s="19">
        <f t="shared" si="5"/>
        <v>32400</v>
      </c>
    </row>
    <row r="8" spans="1:18" ht="18" x14ac:dyDescent="0.4">
      <c r="A8">
        <v>6</v>
      </c>
      <c r="B8">
        <f t="shared" si="0"/>
        <v>46125</v>
      </c>
      <c r="C8" s="7">
        <v>0.1</v>
      </c>
      <c r="D8">
        <f t="shared" si="6"/>
        <v>41512.5</v>
      </c>
      <c r="E8">
        <v>1500</v>
      </c>
      <c r="F8" s="8">
        <f t="shared" si="1"/>
        <v>22.5</v>
      </c>
      <c r="G8">
        <v>30000</v>
      </c>
      <c r="I8" s="20" t="s">
        <v>23</v>
      </c>
      <c r="J8">
        <f>SUM(O2:O7)</f>
        <v>924.16666666666674</v>
      </c>
      <c r="K8" t="s">
        <v>24</v>
      </c>
    </row>
    <row r="9" spans="1:18" ht="18" x14ac:dyDescent="0.4">
      <c r="A9">
        <v>7</v>
      </c>
      <c r="B9">
        <f t="shared" si="0"/>
        <v>985000</v>
      </c>
      <c r="C9" s="7">
        <v>0.1</v>
      </c>
      <c r="D9">
        <f t="shared" si="6"/>
        <v>886500</v>
      </c>
      <c r="E9">
        <v>20000</v>
      </c>
      <c r="F9" s="8">
        <f t="shared" si="1"/>
        <v>300</v>
      </c>
      <c r="G9">
        <v>30000</v>
      </c>
      <c r="I9" s="20" t="s">
        <v>25</v>
      </c>
      <c r="J9">
        <f>SQRT(SUM(P2:P7))</f>
        <v>432.97921428170196</v>
      </c>
      <c r="K9" t="s">
        <v>26</v>
      </c>
    </row>
    <row r="10" spans="1:18" ht="18" x14ac:dyDescent="0.4">
      <c r="A10">
        <v>8</v>
      </c>
      <c r="B10">
        <f t="shared" si="0"/>
        <v>2507500</v>
      </c>
      <c r="C10" s="7">
        <v>0.1</v>
      </c>
      <c r="D10">
        <f t="shared" si="6"/>
        <v>2256750</v>
      </c>
      <c r="E10">
        <v>50000</v>
      </c>
      <c r="F10" s="8">
        <f t="shared" si="1"/>
        <v>750</v>
      </c>
      <c r="G10">
        <v>30000</v>
      </c>
      <c r="I10" s="20" t="s">
        <v>27</v>
      </c>
      <c r="J10">
        <f>J8+2*J9</f>
        <v>1790.1250952300707</v>
      </c>
      <c r="K10">
        <f>J10/(8*23)</f>
        <v>9.7289407349460362</v>
      </c>
      <c r="M10" s="21" t="s">
        <v>28</v>
      </c>
    </row>
    <row r="11" spans="1:18" ht="18" x14ac:dyDescent="0.4">
      <c r="A11">
        <v>9</v>
      </c>
      <c r="B11">
        <f t="shared" si="0"/>
        <v>3015000</v>
      </c>
      <c r="C11" s="7">
        <v>0.1</v>
      </c>
      <c r="D11">
        <f t="shared" si="6"/>
        <v>2713500</v>
      </c>
      <c r="E11">
        <v>60000</v>
      </c>
      <c r="F11" s="8">
        <f t="shared" si="1"/>
        <v>900</v>
      </c>
      <c r="G11">
        <v>30000</v>
      </c>
      <c r="I11" s="20" t="s">
        <v>29</v>
      </c>
      <c r="J11">
        <f>2.5*(POWER(K10,1/3))</f>
        <v>5.336975321687869</v>
      </c>
    </row>
    <row r="12" spans="1:18" x14ac:dyDescent="0.4">
      <c r="A12">
        <v>10</v>
      </c>
      <c r="B12">
        <f t="shared" si="0"/>
        <v>2761250</v>
      </c>
      <c r="C12" s="7">
        <v>0.1</v>
      </c>
      <c r="D12">
        <f t="shared" si="6"/>
        <v>2485125</v>
      </c>
      <c r="E12">
        <v>55000</v>
      </c>
      <c r="F12" s="8">
        <f t="shared" si="1"/>
        <v>825</v>
      </c>
      <c r="G12">
        <v>30000</v>
      </c>
    </row>
    <row r="13" spans="1:18" x14ac:dyDescent="0.4">
      <c r="A13">
        <v>11</v>
      </c>
      <c r="B13">
        <f t="shared" si="0"/>
        <v>3065750</v>
      </c>
      <c r="C13" s="7">
        <v>0.1</v>
      </c>
      <c r="D13">
        <f t="shared" ref="D13:D28" si="7">B13*0.89</f>
        <v>2728517.5</v>
      </c>
      <c r="E13">
        <v>61000</v>
      </c>
      <c r="F13" s="8">
        <f t="shared" si="1"/>
        <v>915</v>
      </c>
      <c r="G13">
        <v>30000</v>
      </c>
    </row>
    <row r="14" spans="1:18" x14ac:dyDescent="0.4">
      <c r="A14">
        <v>12</v>
      </c>
      <c r="B14">
        <f t="shared" si="0"/>
        <v>2913500</v>
      </c>
      <c r="C14" s="7">
        <v>0.1</v>
      </c>
      <c r="D14">
        <f t="shared" si="7"/>
        <v>2593015</v>
      </c>
      <c r="E14">
        <v>58000</v>
      </c>
      <c r="F14" s="8">
        <f t="shared" si="1"/>
        <v>870</v>
      </c>
      <c r="G14">
        <v>30000</v>
      </c>
    </row>
    <row r="15" spans="1:18" x14ac:dyDescent="0.4">
      <c r="A15">
        <v>13</v>
      </c>
      <c r="B15">
        <f t="shared" si="0"/>
        <v>2862750</v>
      </c>
      <c r="C15" s="7">
        <v>0.1</v>
      </c>
      <c r="D15">
        <f t="shared" si="7"/>
        <v>2547847.5</v>
      </c>
      <c r="E15">
        <v>57000</v>
      </c>
      <c r="F15" s="8">
        <f t="shared" si="1"/>
        <v>855</v>
      </c>
      <c r="G15">
        <v>30000</v>
      </c>
      <c r="I15" s="22" t="s">
        <v>30</v>
      </c>
      <c r="J15" s="22"/>
      <c r="K15" s="22"/>
      <c r="L15" s="22"/>
      <c r="M15" s="23" t="s">
        <v>31</v>
      </c>
      <c r="N15" s="24"/>
      <c r="O15" s="24"/>
      <c r="P15" s="24"/>
      <c r="Q15" s="25">
        <v>1</v>
      </c>
      <c r="R15" s="22"/>
    </row>
    <row r="16" spans="1:18" x14ac:dyDescent="0.4">
      <c r="A16">
        <v>14</v>
      </c>
      <c r="B16">
        <f t="shared" si="0"/>
        <v>1421000</v>
      </c>
      <c r="C16" s="7">
        <v>0.1</v>
      </c>
      <c r="D16">
        <f t="shared" si="7"/>
        <v>1264690</v>
      </c>
      <c r="E16">
        <v>28000</v>
      </c>
      <c r="F16" s="8">
        <f t="shared" si="1"/>
        <v>420</v>
      </c>
      <c r="G16">
        <v>0</v>
      </c>
      <c r="I16" s="22" t="s">
        <v>32</v>
      </c>
      <c r="J16" s="22" t="s">
        <v>33</v>
      </c>
      <c r="K16" s="22"/>
      <c r="L16" s="22"/>
      <c r="M16" s="26" t="s">
        <v>34</v>
      </c>
      <c r="N16" s="22"/>
      <c r="O16" s="22"/>
      <c r="P16" s="22"/>
      <c r="Q16" s="27">
        <v>1</v>
      </c>
      <c r="R16" s="22"/>
    </row>
    <row r="17" spans="1:18" x14ac:dyDescent="0.4">
      <c r="A17">
        <v>15</v>
      </c>
      <c r="B17">
        <f t="shared" si="0"/>
        <v>1167250</v>
      </c>
      <c r="C17" s="7">
        <v>0.1</v>
      </c>
      <c r="D17">
        <f t="shared" si="7"/>
        <v>1038852.5</v>
      </c>
      <c r="E17">
        <v>23000</v>
      </c>
      <c r="F17" s="8">
        <f t="shared" si="1"/>
        <v>345</v>
      </c>
      <c r="G17">
        <v>0</v>
      </c>
      <c r="I17" s="22"/>
      <c r="J17" s="22"/>
      <c r="K17" s="22"/>
      <c r="L17" s="22"/>
      <c r="M17" s="26" t="s">
        <v>35</v>
      </c>
      <c r="N17" s="22"/>
      <c r="O17" s="22"/>
      <c r="P17" s="22"/>
      <c r="Q17" s="27">
        <v>0</v>
      </c>
      <c r="R17" s="22"/>
    </row>
    <row r="18" spans="1:18" x14ac:dyDescent="0.4">
      <c r="A18">
        <v>16</v>
      </c>
      <c r="B18">
        <f t="shared" si="0"/>
        <v>2304500</v>
      </c>
      <c r="C18" s="7">
        <v>0.1</v>
      </c>
      <c r="D18">
        <f t="shared" si="7"/>
        <v>2051005</v>
      </c>
      <c r="E18">
        <v>46000</v>
      </c>
      <c r="F18" s="8">
        <f t="shared" si="1"/>
        <v>690</v>
      </c>
      <c r="G18">
        <v>30000</v>
      </c>
      <c r="I18" s="22" t="s">
        <v>36</v>
      </c>
      <c r="J18" s="22" t="s">
        <v>37</v>
      </c>
      <c r="K18" s="22" t="s">
        <v>38</v>
      </c>
      <c r="L18" s="22"/>
      <c r="M18" s="26" t="s">
        <v>39</v>
      </c>
      <c r="N18" s="22"/>
      <c r="O18" s="22"/>
      <c r="P18" s="22"/>
      <c r="Q18" s="27">
        <v>0</v>
      </c>
      <c r="R18" s="22"/>
    </row>
    <row r="19" spans="1:18" x14ac:dyDescent="0.4">
      <c r="A19">
        <v>17</v>
      </c>
      <c r="B19">
        <f t="shared" si="0"/>
        <v>2558250</v>
      </c>
      <c r="C19" s="7">
        <v>0.1</v>
      </c>
      <c r="D19">
        <f t="shared" si="7"/>
        <v>2276842.5</v>
      </c>
      <c r="E19">
        <v>51000</v>
      </c>
      <c r="F19" s="8">
        <f t="shared" si="1"/>
        <v>765</v>
      </c>
      <c r="G19">
        <v>30000</v>
      </c>
      <c r="I19" s="22" t="s">
        <v>40</v>
      </c>
      <c r="J19" s="22">
        <v>6</v>
      </c>
      <c r="K19" s="22">
        <v>5</v>
      </c>
      <c r="L19" s="22"/>
      <c r="M19" s="26" t="s">
        <v>41</v>
      </c>
      <c r="N19" s="22"/>
      <c r="O19" s="22"/>
      <c r="P19" s="22"/>
      <c r="Q19" s="27">
        <v>0</v>
      </c>
      <c r="R19" s="22"/>
    </row>
    <row r="20" spans="1:18" x14ac:dyDescent="0.4">
      <c r="A20">
        <v>18</v>
      </c>
      <c r="B20">
        <f t="shared" si="0"/>
        <v>3015000</v>
      </c>
      <c r="C20" s="7">
        <v>0.1</v>
      </c>
      <c r="D20">
        <f t="shared" si="7"/>
        <v>2683350</v>
      </c>
      <c r="E20">
        <v>60000</v>
      </c>
      <c r="F20" s="8">
        <f t="shared" si="1"/>
        <v>900</v>
      </c>
      <c r="G20">
        <v>30000</v>
      </c>
      <c r="I20" s="22" t="s">
        <v>42</v>
      </c>
      <c r="J20" s="22">
        <v>4</v>
      </c>
      <c r="K20" s="22">
        <v>8</v>
      </c>
      <c r="L20" s="22"/>
      <c r="M20" s="26" t="s">
        <v>43</v>
      </c>
      <c r="N20" s="22"/>
      <c r="O20" s="22"/>
      <c r="P20" s="22"/>
      <c r="Q20" s="27">
        <v>5</v>
      </c>
      <c r="R20" s="22"/>
    </row>
    <row r="21" spans="1:18" x14ac:dyDescent="0.4">
      <c r="A21">
        <v>19</v>
      </c>
      <c r="B21">
        <f t="shared" si="0"/>
        <v>3015000</v>
      </c>
      <c r="C21" s="7">
        <v>0.1</v>
      </c>
      <c r="D21">
        <f t="shared" si="7"/>
        <v>2683350</v>
      </c>
      <c r="E21">
        <v>60000</v>
      </c>
      <c r="F21" s="8">
        <f t="shared" si="1"/>
        <v>900</v>
      </c>
      <c r="G21">
        <v>30000</v>
      </c>
      <c r="I21" s="22" t="s">
        <v>44</v>
      </c>
      <c r="J21" s="22">
        <v>13</v>
      </c>
      <c r="K21" s="22">
        <v>11</v>
      </c>
      <c r="L21" s="22"/>
      <c r="M21" s="26" t="s">
        <v>45</v>
      </c>
      <c r="N21" s="22"/>
      <c r="O21" s="22"/>
      <c r="P21" s="22"/>
      <c r="Q21" s="27">
        <v>0</v>
      </c>
      <c r="R21" s="22"/>
    </row>
    <row r="22" spans="1:18" x14ac:dyDescent="0.4">
      <c r="A22">
        <v>20</v>
      </c>
      <c r="B22">
        <f t="shared" si="0"/>
        <v>2761250</v>
      </c>
      <c r="C22" s="7">
        <v>0.1</v>
      </c>
      <c r="D22">
        <f t="shared" si="7"/>
        <v>2457512.5</v>
      </c>
      <c r="E22">
        <v>55000</v>
      </c>
      <c r="F22" s="8">
        <f t="shared" si="1"/>
        <v>825</v>
      </c>
      <c r="G22">
        <v>30000</v>
      </c>
      <c r="I22" s="22"/>
      <c r="J22" s="22"/>
      <c r="K22" s="22"/>
      <c r="L22" s="22"/>
      <c r="M22" s="26" t="s">
        <v>46</v>
      </c>
      <c r="N22" s="22"/>
      <c r="O22" s="22"/>
      <c r="P22" s="22"/>
      <c r="Q22" s="27">
        <v>2</v>
      </c>
      <c r="R22" s="22"/>
    </row>
    <row r="23" spans="1:18" x14ac:dyDescent="0.4">
      <c r="A23">
        <v>21</v>
      </c>
      <c r="B23">
        <f t="shared" si="0"/>
        <v>3065750</v>
      </c>
      <c r="C23" s="7">
        <v>0.1</v>
      </c>
      <c r="D23">
        <f t="shared" si="7"/>
        <v>2728517.5</v>
      </c>
      <c r="E23">
        <v>61000</v>
      </c>
      <c r="F23" s="8">
        <f t="shared" si="1"/>
        <v>915</v>
      </c>
      <c r="G23">
        <v>30000</v>
      </c>
      <c r="I23" s="22" t="s">
        <v>47</v>
      </c>
      <c r="J23" s="22" t="s">
        <v>48</v>
      </c>
      <c r="K23" s="22" t="s">
        <v>49</v>
      </c>
      <c r="L23" s="22"/>
      <c r="M23" s="26" t="s">
        <v>50</v>
      </c>
      <c r="N23" s="22"/>
      <c r="O23" s="22"/>
      <c r="P23" s="22"/>
      <c r="Q23" s="27">
        <v>2</v>
      </c>
      <c r="R23" s="22"/>
    </row>
    <row r="24" spans="1:18" x14ac:dyDescent="0.4">
      <c r="A24">
        <v>22</v>
      </c>
      <c r="B24">
        <f t="shared" si="0"/>
        <v>2304500</v>
      </c>
      <c r="C24" s="7">
        <v>0.1</v>
      </c>
      <c r="D24">
        <f t="shared" si="7"/>
        <v>2051005</v>
      </c>
      <c r="E24">
        <v>46000</v>
      </c>
      <c r="F24" s="8">
        <f t="shared" si="1"/>
        <v>690</v>
      </c>
      <c r="G24">
        <v>30000</v>
      </c>
      <c r="I24" s="22" t="s">
        <v>40</v>
      </c>
      <c r="J24" s="22">
        <v>4</v>
      </c>
      <c r="K24" s="22">
        <v>5</v>
      </c>
      <c r="L24" s="22"/>
      <c r="M24" s="26" t="s">
        <v>51</v>
      </c>
      <c r="N24" s="22"/>
      <c r="O24" s="22"/>
      <c r="P24" s="22"/>
      <c r="Q24" s="27">
        <v>1</v>
      </c>
      <c r="R24" s="22"/>
    </row>
    <row r="25" spans="1:18" x14ac:dyDescent="0.4">
      <c r="A25">
        <v>23</v>
      </c>
      <c r="B25">
        <f t="shared" si="0"/>
        <v>2558250</v>
      </c>
      <c r="C25" s="7">
        <v>0.1</v>
      </c>
      <c r="D25">
        <f t="shared" si="7"/>
        <v>2276842.5</v>
      </c>
      <c r="E25">
        <v>51000</v>
      </c>
      <c r="F25" s="8">
        <f t="shared" si="1"/>
        <v>765</v>
      </c>
      <c r="G25">
        <v>30000</v>
      </c>
      <c r="I25" s="22" t="s">
        <v>42</v>
      </c>
      <c r="J25" s="22">
        <v>11</v>
      </c>
      <c r="K25" s="22">
        <v>13</v>
      </c>
      <c r="L25" s="22"/>
      <c r="M25" s="26" t="s">
        <v>52</v>
      </c>
      <c r="N25" s="22"/>
      <c r="O25" s="22"/>
      <c r="P25" s="22"/>
      <c r="Q25" s="27">
        <v>3</v>
      </c>
      <c r="R25" s="22"/>
    </row>
    <row r="26" spans="1:18" x14ac:dyDescent="0.4">
      <c r="A26">
        <v>24</v>
      </c>
      <c r="B26">
        <f t="shared" si="0"/>
        <v>3015000</v>
      </c>
      <c r="C26" s="7">
        <v>0.1</v>
      </c>
      <c r="D26">
        <f t="shared" si="7"/>
        <v>2683350</v>
      </c>
      <c r="E26">
        <v>60000</v>
      </c>
      <c r="F26" s="8">
        <f t="shared" si="1"/>
        <v>900</v>
      </c>
      <c r="G26">
        <v>30000</v>
      </c>
      <c r="I26" s="22" t="s">
        <v>44</v>
      </c>
      <c r="J26" s="22">
        <v>7</v>
      </c>
      <c r="K26" s="22">
        <v>8</v>
      </c>
      <c r="L26" s="22"/>
      <c r="M26" s="26" t="s">
        <v>53</v>
      </c>
      <c r="N26" s="22"/>
      <c r="O26" s="22"/>
      <c r="P26" s="22"/>
      <c r="Q26" s="27">
        <v>0</v>
      </c>
      <c r="R26" s="22"/>
    </row>
    <row r="27" spans="1:18" x14ac:dyDescent="0.4">
      <c r="A27">
        <v>25</v>
      </c>
      <c r="B27">
        <f t="shared" si="0"/>
        <v>3065750</v>
      </c>
      <c r="C27" s="7">
        <v>0.1</v>
      </c>
      <c r="D27">
        <f t="shared" si="7"/>
        <v>2728517.5</v>
      </c>
      <c r="E27">
        <v>61000</v>
      </c>
      <c r="F27" s="8">
        <f t="shared" si="1"/>
        <v>915</v>
      </c>
      <c r="G27">
        <v>30000</v>
      </c>
      <c r="I27" s="22"/>
      <c r="J27" s="22"/>
      <c r="K27" s="22"/>
      <c r="L27" s="22"/>
      <c r="M27" s="26" t="s">
        <v>54</v>
      </c>
      <c r="N27" s="22"/>
      <c r="O27" s="22"/>
      <c r="P27" s="22"/>
      <c r="Q27" s="27">
        <v>5</v>
      </c>
      <c r="R27" s="22"/>
    </row>
    <row r="28" spans="1:18" x14ac:dyDescent="0.4">
      <c r="A28">
        <v>26</v>
      </c>
      <c r="B28">
        <f t="shared" si="0"/>
        <v>2913500</v>
      </c>
      <c r="C28" s="7">
        <v>0.1</v>
      </c>
      <c r="D28">
        <f t="shared" si="7"/>
        <v>2593015</v>
      </c>
      <c r="E28">
        <v>58000</v>
      </c>
      <c r="F28" s="8">
        <f t="shared" si="1"/>
        <v>870</v>
      </c>
      <c r="G28">
        <v>30000</v>
      </c>
      <c r="I28" s="23" t="s">
        <v>55</v>
      </c>
      <c r="J28" s="24">
        <f>SUM(J19:K21)+SUM(J24:K26)</f>
        <v>95</v>
      </c>
      <c r="K28" s="28"/>
      <c r="L28" s="22"/>
      <c r="M28" s="29" t="s">
        <v>56</v>
      </c>
      <c r="N28" s="30"/>
      <c r="O28" s="30"/>
      <c r="P28" s="30"/>
      <c r="Q28" s="31">
        <v>0</v>
      </c>
      <c r="R28" s="22"/>
    </row>
    <row r="29" spans="1:18" x14ac:dyDescent="0.4">
      <c r="C29" s="7"/>
      <c r="I29" s="29" t="s">
        <v>57</v>
      </c>
      <c r="J29" s="30"/>
      <c r="K29" s="32"/>
      <c r="L29" s="22"/>
      <c r="M29" s="22"/>
      <c r="N29" s="22"/>
      <c r="O29" s="22"/>
      <c r="P29" s="22"/>
      <c r="Q29" s="22"/>
      <c r="R29" s="22"/>
    </row>
    <row r="30" spans="1:18" x14ac:dyDescent="0.4">
      <c r="C30" s="7"/>
      <c r="I30" s="22"/>
      <c r="J30" s="22"/>
      <c r="K30" s="22"/>
      <c r="L30" s="22"/>
      <c r="M30" s="22"/>
      <c r="N30" s="33" t="s">
        <v>58</v>
      </c>
      <c r="O30" s="34"/>
      <c r="P30" s="34" t="s">
        <v>59</v>
      </c>
      <c r="Q30" s="35">
        <f>SUM(Q15:Q28)</f>
        <v>20</v>
      </c>
      <c r="R30" s="22"/>
    </row>
    <row r="31" spans="1:18" x14ac:dyDescent="0.4">
      <c r="C31" s="7"/>
      <c r="F31" t="s">
        <v>60</v>
      </c>
      <c r="G31" t="s">
        <v>61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18" x14ac:dyDescent="0.4">
      <c r="A32" s="36" t="s">
        <v>62</v>
      </c>
      <c r="C32" s="7"/>
      <c r="F32">
        <v>50</v>
      </c>
      <c r="G32">
        <v>50</v>
      </c>
      <c r="I32" s="22"/>
      <c r="J32" s="22" t="s">
        <v>63</v>
      </c>
      <c r="K32" s="22" t="s">
        <v>64</v>
      </c>
      <c r="L32" s="22">
        <f>Q30*0.01+0.65</f>
        <v>0.85000000000000009</v>
      </c>
      <c r="M32" s="22"/>
      <c r="N32" s="22"/>
      <c r="O32" s="22"/>
      <c r="P32" s="22"/>
      <c r="Q32" s="22"/>
      <c r="R32" s="22"/>
    </row>
    <row r="33" spans="1:18" x14ac:dyDescent="0.4">
      <c r="A33" s="36" t="s">
        <v>65</v>
      </c>
      <c r="B33" s="36"/>
      <c r="C33" s="36"/>
      <c r="D33" s="36" t="s">
        <v>3</v>
      </c>
      <c r="I33" s="22"/>
      <c r="J33" s="22" t="s">
        <v>66</v>
      </c>
      <c r="K33" s="22" t="s">
        <v>67</v>
      </c>
      <c r="L33" s="22">
        <f>J28*L32</f>
        <v>80.750000000000014</v>
      </c>
      <c r="M33" s="22"/>
      <c r="N33" s="22"/>
      <c r="O33" s="22"/>
      <c r="P33" s="22"/>
      <c r="Q33" s="22"/>
      <c r="R33" s="22"/>
    </row>
    <row r="34" spans="1:18" x14ac:dyDescent="0.4">
      <c r="A34" s="36">
        <f>7400000*(1+(0.1*(1/12)))^26</f>
        <v>9182035.1447706055</v>
      </c>
      <c r="B34" s="36">
        <f>SUM(B2:B32)</f>
        <v>51182175</v>
      </c>
      <c r="C34" s="36"/>
      <c r="D34" s="36">
        <f>SUM(D2:D28)</f>
        <v>40033887.5</v>
      </c>
      <c r="I34" s="22"/>
      <c r="J34" s="22" t="s">
        <v>68</v>
      </c>
      <c r="K34" s="22" t="s">
        <v>69</v>
      </c>
      <c r="L34" s="37">
        <f>(J28+20)*L32</f>
        <v>97.750000000000014</v>
      </c>
      <c r="M34" s="22"/>
      <c r="N34" s="22"/>
      <c r="O34" s="22"/>
      <c r="P34" s="22"/>
      <c r="Q34" s="22"/>
      <c r="R34" s="22"/>
    </row>
    <row r="35" spans="1:18" x14ac:dyDescent="0.4">
      <c r="A35" s="36" t="s">
        <v>70</v>
      </c>
      <c r="B35" s="36"/>
      <c r="C35" s="36" t="s">
        <v>71</v>
      </c>
      <c r="D35" s="36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x14ac:dyDescent="0.4">
      <c r="A36" s="36">
        <f>1/A34*D34</f>
        <v>4.360023335654545</v>
      </c>
      <c r="B36" s="36"/>
      <c r="C36" s="38">
        <f>IRR(B2:B28)</f>
        <v>0.72874582987641046</v>
      </c>
      <c r="D36" s="36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spans="1:18" x14ac:dyDescent="0.4">
      <c r="A37" s="36"/>
      <c r="B37" s="36"/>
      <c r="C37" s="36"/>
      <c r="D37" s="36"/>
    </row>
    <row r="38" spans="1:18" x14ac:dyDescent="0.4">
      <c r="A38" s="36" t="s">
        <v>72</v>
      </c>
      <c r="B38" s="36"/>
      <c r="C38" s="36" t="s">
        <v>73</v>
      </c>
      <c r="D38" s="36"/>
      <c r="I38" t="s">
        <v>74</v>
      </c>
    </row>
    <row r="39" spans="1:18" x14ac:dyDescent="0.4">
      <c r="A39" s="36">
        <f>7400000/10790000+10/12</f>
        <v>1.5191535372258265</v>
      </c>
      <c r="B39" s="36"/>
      <c r="C39" s="36">
        <f>D34/(-(SUM(D2:D7)))</f>
        <v>6.9797371040826537</v>
      </c>
      <c r="D39" s="36"/>
    </row>
    <row r="40" spans="1:18" x14ac:dyDescent="0.4">
      <c r="I40" t="s">
        <v>75</v>
      </c>
      <c r="J40" t="s">
        <v>76</v>
      </c>
      <c r="K40" t="s">
        <v>77</v>
      </c>
      <c r="L40" t="s">
        <v>78</v>
      </c>
    </row>
    <row r="41" spans="1:18" x14ac:dyDescent="0.4">
      <c r="I41" t="s">
        <v>79</v>
      </c>
      <c r="J41" t="s">
        <v>80</v>
      </c>
    </row>
    <row r="42" spans="1:18" x14ac:dyDescent="0.4">
      <c r="A42" t="s">
        <v>81</v>
      </c>
      <c r="C42">
        <f>D34</f>
        <v>40033887.5</v>
      </c>
      <c r="I42" t="s">
        <v>82</v>
      </c>
      <c r="J42">
        <v>250</v>
      </c>
      <c r="K42">
        <v>90</v>
      </c>
      <c r="L42">
        <v>300</v>
      </c>
    </row>
    <row r="43" spans="1:18" x14ac:dyDescent="0.4">
      <c r="A43" t="s">
        <v>83</v>
      </c>
      <c r="C43">
        <f>A36</f>
        <v>4.360023335654545</v>
      </c>
      <c r="I43" t="s">
        <v>84</v>
      </c>
      <c r="J43">
        <v>110</v>
      </c>
      <c r="K43">
        <v>100</v>
      </c>
      <c r="L43">
        <v>250</v>
      </c>
    </row>
    <row r="44" spans="1:18" x14ac:dyDescent="0.4">
      <c r="A44" t="s">
        <v>85</v>
      </c>
      <c r="C44" s="39">
        <f>C36</f>
        <v>0.72874582987641046</v>
      </c>
      <c r="I44" t="s">
        <v>86</v>
      </c>
      <c r="J44">
        <v>70</v>
      </c>
      <c r="K44">
        <v>50</v>
      </c>
      <c r="L44">
        <v>120</v>
      </c>
    </row>
    <row r="45" spans="1:18" x14ac:dyDescent="0.4">
      <c r="A45" t="s">
        <v>87</v>
      </c>
      <c r="C45">
        <f>A39</f>
        <v>1.5191535372258265</v>
      </c>
      <c r="I45" t="s">
        <v>88</v>
      </c>
      <c r="J45">
        <v>350</v>
      </c>
      <c r="K45">
        <v>200</v>
      </c>
      <c r="L45">
        <v>600</v>
      </c>
    </row>
    <row r="46" spans="1:18" x14ac:dyDescent="0.4">
      <c r="A46" t="s">
        <v>89</v>
      </c>
      <c r="C46">
        <f>C39</f>
        <v>6.9797371040826537</v>
      </c>
    </row>
    <row r="48" spans="1:18" x14ac:dyDescent="0.4">
      <c r="I48" s="36" t="s">
        <v>90</v>
      </c>
      <c r="J48" s="36" t="s">
        <v>91</v>
      </c>
      <c r="K48" s="36" t="s">
        <v>92</v>
      </c>
      <c r="L48" s="36" t="s">
        <v>93</v>
      </c>
      <c r="M48" s="36"/>
      <c r="N48" s="36"/>
      <c r="O48" s="36"/>
      <c r="P48" s="36"/>
      <c r="Q48" s="36"/>
      <c r="R48" s="36"/>
    </row>
    <row r="49" spans="9:18" x14ac:dyDescent="0.4">
      <c r="I49" s="36"/>
      <c r="J49" s="36"/>
      <c r="K49" s="36"/>
      <c r="L49" s="36" t="s">
        <v>94</v>
      </c>
      <c r="M49" s="36" t="s">
        <v>95</v>
      </c>
      <c r="N49" s="36" t="s">
        <v>96</v>
      </c>
      <c r="O49" s="36" t="s">
        <v>97</v>
      </c>
      <c r="P49" s="36" t="s">
        <v>98</v>
      </c>
      <c r="Q49" s="36" t="s">
        <v>99</v>
      </c>
      <c r="R49" s="36" t="s">
        <v>100</v>
      </c>
    </row>
    <row r="50" spans="9:18" x14ac:dyDescent="0.4">
      <c r="I50" s="36">
        <v>1</v>
      </c>
      <c r="J50" s="36" t="s">
        <v>101</v>
      </c>
      <c r="K50" s="36" t="s">
        <v>102</v>
      </c>
      <c r="L50" s="36">
        <v>2.12</v>
      </c>
      <c r="M50" s="36">
        <v>1.66</v>
      </c>
      <c r="N50" s="36">
        <v>1.26</v>
      </c>
      <c r="O50" s="36" t="s">
        <v>103</v>
      </c>
      <c r="P50" s="36" t="s">
        <v>104</v>
      </c>
      <c r="Q50" s="36" t="s">
        <v>105</v>
      </c>
      <c r="R50" s="36" t="s">
        <v>106</v>
      </c>
    </row>
    <row r="51" spans="9:18" x14ac:dyDescent="0.4">
      <c r="I51" s="36">
        <v>2</v>
      </c>
      <c r="J51" s="36" t="s">
        <v>107</v>
      </c>
      <c r="K51" s="36" t="s">
        <v>108</v>
      </c>
      <c r="L51" s="36">
        <v>1.59</v>
      </c>
      <c r="M51" s="36">
        <v>1.4</v>
      </c>
      <c r="N51" s="36">
        <v>1.19</v>
      </c>
      <c r="O51" s="36" t="s">
        <v>103</v>
      </c>
      <c r="P51" s="36" t="s">
        <v>109</v>
      </c>
      <c r="Q51" s="36" t="s">
        <v>110</v>
      </c>
      <c r="R51" s="36" t="s">
        <v>111</v>
      </c>
    </row>
    <row r="52" spans="9:18" x14ac:dyDescent="0.4">
      <c r="I52" s="36">
        <v>3</v>
      </c>
      <c r="J52" s="36" t="s">
        <v>112</v>
      </c>
      <c r="K52" s="36" t="s">
        <v>113</v>
      </c>
      <c r="L52" s="36">
        <v>0.49</v>
      </c>
      <c r="M52" s="36" t="s">
        <v>114</v>
      </c>
      <c r="N52" s="36" t="s">
        <v>104</v>
      </c>
      <c r="O52" s="36" t="s">
        <v>103</v>
      </c>
      <c r="P52" s="36">
        <v>12055</v>
      </c>
      <c r="Q52" s="36">
        <v>33239</v>
      </c>
      <c r="R52" s="36">
        <v>26330</v>
      </c>
    </row>
    <row r="53" spans="9:18" x14ac:dyDescent="0.4">
      <c r="I53" s="36">
        <v>4</v>
      </c>
      <c r="J53" s="36" t="s">
        <v>115</v>
      </c>
      <c r="K53" s="36" t="s">
        <v>116</v>
      </c>
      <c r="L53" s="36" t="s">
        <v>117</v>
      </c>
      <c r="M53" s="36" t="s">
        <v>117</v>
      </c>
      <c r="N53" s="36" t="s">
        <v>118</v>
      </c>
      <c r="O53" s="36" t="s">
        <v>103</v>
      </c>
      <c r="P53" s="36">
        <v>44743</v>
      </c>
      <c r="Q53" s="36">
        <v>42005</v>
      </c>
      <c r="R53" s="36">
        <v>45292</v>
      </c>
    </row>
    <row r="54" spans="9:18" x14ac:dyDescent="0.4">
      <c r="I54" s="36">
        <v>5</v>
      </c>
      <c r="J54" s="36" t="s">
        <v>119</v>
      </c>
      <c r="K54" s="36" t="s">
        <v>120</v>
      </c>
      <c r="L54" s="36" t="s">
        <v>117</v>
      </c>
      <c r="M54" s="36" t="s">
        <v>117</v>
      </c>
      <c r="N54" s="36" t="s">
        <v>109</v>
      </c>
      <c r="O54" s="36" t="s">
        <v>103</v>
      </c>
      <c r="P54" s="36">
        <v>47119</v>
      </c>
      <c r="Q54" s="36">
        <v>29587</v>
      </c>
      <c r="R54" s="36">
        <v>22313</v>
      </c>
    </row>
    <row r="55" spans="9:18" x14ac:dyDescent="0.4">
      <c r="I55" s="36">
        <v>6</v>
      </c>
      <c r="J55" s="36" t="s">
        <v>121</v>
      </c>
      <c r="K55" s="36" t="s">
        <v>122</v>
      </c>
      <c r="L55" s="36">
        <v>1.43</v>
      </c>
      <c r="M55" s="36">
        <v>1.3</v>
      </c>
      <c r="N55" s="36">
        <v>44835</v>
      </c>
      <c r="O55" s="36" t="s">
        <v>103</v>
      </c>
      <c r="P55" s="36" t="s">
        <v>109</v>
      </c>
      <c r="Q55" s="36" t="s">
        <v>123</v>
      </c>
      <c r="R55" s="36" t="s">
        <v>111</v>
      </c>
    </row>
    <row r="56" spans="9:18" x14ac:dyDescent="0.4">
      <c r="I56" s="36">
        <v>7</v>
      </c>
      <c r="J56" s="36" t="s">
        <v>124</v>
      </c>
      <c r="K56" s="36" t="s">
        <v>125</v>
      </c>
      <c r="L56" s="36" t="s">
        <v>117</v>
      </c>
      <c r="M56" s="36">
        <v>1.43</v>
      </c>
      <c r="N56" s="36">
        <v>1.1399999999999999</v>
      </c>
      <c r="O56" s="36" t="s">
        <v>103</v>
      </c>
      <c r="P56" s="36" t="s">
        <v>103</v>
      </c>
      <c r="Q56" s="36" t="s">
        <v>117</v>
      </c>
      <c r="R56" s="36" t="s">
        <v>117</v>
      </c>
    </row>
    <row r="57" spans="9:18" x14ac:dyDescent="0.4"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9:18" x14ac:dyDescent="0.4"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9:18" x14ac:dyDescent="0.4">
      <c r="I59" s="2"/>
      <c r="J59" s="1" t="s">
        <v>126</v>
      </c>
      <c r="K59" s="1"/>
      <c r="L59" s="1"/>
      <c r="M59" s="1"/>
      <c r="N59" s="1"/>
      <c r="O59" s="1"/>
      <c r="P59" s="36"/>
      <c r="Q59" s="36"/>
      <c r="R59" s="36"/>
    </row>
    <row r="60" spans="9:18" x14ac:dyDescent="0.4">
      <c r="I60" s="2"/>
      <c r="J60" s="36" t="s">
        <v>95</v>
      </c>
      <c r="K60" s="36" t="s">
        <v>96</v>
      </c>
      <c r="L60" s="36" t="s">
        <v>127</v>
      </c>
      <c r="M60" s="36" t="s">
        <v>98</v>
      </c>
      <c r="N60" s="36" t="s">
        <v>99</v>
      </c>
      <c r="O60" s="36" t="s">
        <v>128</v>
      </c>
      <c r="P60" s="36"/>
      <c r="Q60" s="36"/>
      <c r="R60" s="36"/>
    </row>
    <row r="61" spans="9:18" x14ac:dyDescent="0.4">
      <c r="I61" s="36" t="s">
        <v>129</v>
      </c>
      <c r="J61" s="36">
        <v>6.2</v>
      </c>
      <c r="K61" s="36">
        <v>4.96</v>
      </c>
      <c r="L61" s="36">
        <v>3.72</v>
      </c>
      <c r="M61" s="36">
        <v>2.48</v>
      </c>
      <c r="N61" s="36">
        <v>45292</v>
      </c>
      <c r="O61" s="36" t="s">
        <v>130</v>
      </c>
      <c r="P61" s="36"/>
      <c r="Q61" s="36"/>
      <c r="R61" s="36"/>
    </row>
    <row r="62" spans="9:18" x14ac:dyDescent="0.4">
      <c r="I62" s="36" t="s">
        <v>131</v>
      </c>
      <c r="J62" s="36">
        <v>44747</v>
      </c>
      <c r="K62" s="36">
        <v>44685</v>
      </c>
      <c r="L62" s="36">
        <v>44654</v>
      </c>
      <c r="M62" s="36">
        <v>44622</v>
      </c>
      <c r="N62" s="36">
        <v>44562</v>
      </c>
      <c r="O62" s="36" t="s">
        <v>130</v>
      </c>
      <c r="P62" s="36"/>
      <c r="Q62" s="36"/>
      <c r="R62" s="36"/>
    </row>
    <row r="63" spans="9:18" x14ac:dyDescent="0.4">
      <c r="I63" s="36" t="s">
        <v>132</v>
      </c>
      <c r="J63" s="36">
        <v>44749</v>
      </c>
      <c r="K63" s="36">
        <v>23863</v>
      </c>
      <c r="L63" s="36">
        <v>45383</v>
      </c>
      <c r="M63" s="36">
        <v>30348</v>
      </c>
      <c r="N63" s="36">
        <v>14977</v>
      </c>
      <c r="O63" s="36" t="s">
        <v>130</v>
      </c>
      <c r="P63" s="36"/>
      <c r="Q63" s="36"/>
      <c r="R63" s="36"/>
    </row>
    <row r="64" spans="9:18" x14ac:dyDescent="0.4">
      <c r="I64" s="36" t="s">
        <v>133</v>
      </c>
      <c r="J64" s="36">
        <v>17654</v>
      </c>
      <c r="K64" s="36">
        <v>13971</v>
      </c>
      <c r="L64" s="36">
        <v>47178</v>
      </c>
      <c r="M64" s="36">
        <v>43497</v>
      </c>
      <c r="N64" s="36">
        <v>44835</v>
      </c>
      <c r="O64" s="36" t="s">
        <v>130</v>
      </c>
      <c r="P64" s="36"/>
      <c r="Q64" s="36"/>
      <c r="R64" s="36"/>
    </row>
    <row r="65" spans="8:18" x14ac:dyDescent="0.4">
      <c r="I65" s="36" t="s">
        <v>134</v>
      </c>
      <c r="J65" s="36">
        <v>29403</v>
      </c>
      <c r="K65" s="36">
        <v>45444</v>
      </c>
      <c r="L65" s="36">
        <v>24929</v>
      </c>
      <c r="M65" s="36">
        <v>44898</v>
      </c>
      <c r="N65" s="36">
        <v>20455</v>
      </c>
      <c r="O65" s="36" t="s">
        <v>130</v>
      </c>
      <c r="P65" s="36"/>
      <c r="Q65" s="36"/>
      <c r="R65" s="36"/>
    </row>
    <row r="68" spans="8:18" x14ac:dyDescent="0.4">
      <c r="H68" t="s">
        <v>135</v>
      </c>
      <c r="I68" s="40" t="s">
        <v>101</v>
      </c>
      <c r="J68" s="41">
        <v>0.83</v>
      </c>
    </row>
    <row r="69" spans="8:18" x14ac:dyDescent="0.4">
      <c r="I69" s="42" t="s">
        <v>107</v>
      </c>
      <c r="J69" s="43">
        <v>0.87</v>
      </c>
    </row>
    <row r="70" spans="8:18" x14ac:dyDescent="0.4">
      <c r="I70" s="42" t="s">
        <v>112</v>
      </c>
      <c r="J70" s="43">
        <v>1.71</v>
      </c>
    </row>
    <row r="71" spans="8:18" x14ac:dyDescent="0.4">
      <c r="I71" s="42" t="s">
        <v>115</v>
      </c>
      <c r="J71" s="43">
        <v>1.72</v>
      </c>
      <c r="L71" s="44" t="s">
        <v>136</v>
      </c>
      <c r="M71" s="44" t="s">
        <v>137</v>
      </c>
    </row>
    <row r="72" spans="8:18" x14ac:dyDescent="0.4">
      <c r="I72" s="42" t="s">
        <v>119</v>
      </c>
      <c r="J72" s="43">
        <v>1</v>
      </c>
      <c r="K72" s="45" t="s">
        <v>138</v>
      </c>
      <c r="L72">
        <f>2.94*3000*POWER(PRODUCT(J68:J74),L74)</f>
        <v>15802.447423937954</v>
      </c>
      <c r="M72">
        <f>L72/(24*8)</f>
        <v>82.304413666343507</v>
      </c>
      <c r="N72" t="s">
        <v>139</v>
      </c>
    </row>
    <row r="73" spans="8:18" x14ac:dyDescent="0.4">
      <c r="I73" s="42" t="s">
        <v>121</v>
      </c>
      <c r="J73" s="43">
        <v>0.87</v>
      </c>
    </row>
    <row r="74" spans="8:18" x14ac:dyDescent="0.4">
      <c r="I74" s="46" t="s">
        <v>124</v>
      </c>
      <c r="J74" s="47">
        <v>1</v>
      </c>
      <c r="K74" s="45" t="s">
        <v>140</v>
      </c>
      <c r="L74">
        <f>0.91+0.01*SUM(J75:J79)</f>
        <v>0.94979999999999998</v>
      </c>
    </row>
    <row r="75" spans="8:18" x14ac:dyDescent="0.4">
      <c r="H75" t="s">
        <v>141</v>
      </c>
      <c r="I75" s="40" t="s">
        <v>129</v>
      </c>
      <c r="J75" s="41">
        <v>0</v>
      </c>
    </row>
    <row r="76" spans="8:18" x14ac:dyDescent="0.4">
      <c r="I76" s="42" t="s">
        <v>131</v>
      </c>
      <c r="J76" s="43">
        <v>1.01</v>
      </c>
    </row>
    <row r="77" spans="8:18" x14ac:dyDescent="0.4">
      <c r="I77" s="42" t="s">
        <v>132</v>
      </c>
      <c r="J77" s="43">
        <v>1.41</v>
      </c>
    </row>
    <row r="78" spans="8:18" x14ac:dyDescent="0.4">
      <c r="I78" s="42" t="s">
        <v>133</v>
      </c>
      <c r="J78" s="43">
        <v>0</v>
      </c>
    </row>
    <row r="79" spans="8:18" x14ac:dyDescent="0.4">
      <c r="I79" s="46" t="s">
        <v>134</v>
      </c>
      <c r="J79" s="47">
        <v>1.56</v>
      </c>
    </row>
    <row r="91" spans="1:3" x14ac:dyDescent="0.4">
      <c r="C91">
        <v>41667</v>
      </c>
    </row>
    <row r="92" spans="1:3" x14ac:dyDescent="0.4">
      <c r="A92" t="s">
        <v>142</v>
      </c>
      <c r="B92" t="s">
        <v>143</v>
      </c>
      <c r="C92" t="s">
        <v>144</v>
      </c>
    </row>
    <row r="93" spans="1:3" x14ac:dyDescent="0.4">
      <c r="A93">
        <v>0</v>
      </c>
      <c r="B93">
        <f>420000</f>
        <v>420000</v>
      </c>
      <c r="C93">
        <v>1000000</v>
      </c>
    </row>
    <row r="94" spans="1:3" x14ac:dyDescent="0.4">
      <c r="A94">
        <v>1</v>
      </c>
      <c r="B94">
        <f t="shared" ref="B94:C98" si="8">B93-$C$91</f>
        <v>378333</v>
      </c>
      <c r="C94">
        <f t="shared" si="8"/>
        <v>958333</v>
      </c>
    </row>
    <row r="95" spans="1:3" x14ac:dyDescent="0.4">
      <c r="A95">
        <v>2</v>
      </c>
      <c r="B95">
        <f t="shared" si="8"/>
        <v>336666</v>
      </c>
      <c r="C95">
        <f t="shared" si="8"/>
        <v>916666</v>
      </c>
    </row>
    <row r="96" spans="1:3" x14ac:dyDescent="0.4">
      <c r="A96">
        <v>3</v>
      </c>
      <c r="B96">
        <f t="shared" si="8"/>
        <v>294999</v>
      </c>
      <c r="C96">
        <f t="shared" si="8"/>
        <v>874999</v>
      </c>
    </row>
    <row r="97" spans="1:3" x14ac:dyDescent="0.4">
      <c r="A97">
        <v>4</v>
      </c>
      <c r="B97">
        <f t="shared" si="8"/>
        <v>253332</v>
      </c>
      <c r="C97">
        <f t="shared" si="8"/>
        <v>833332</v>
      </c>
    </row>
    <row r="98" spans="1:3" x14ac:dyDescent="0.4">
      <c r="A98">
        <v>5</v>
      </c>
      <c r="B98">
        <f t="shared" si="8"/>
        <v>211665</v>
      </c>
      <c r="C98">
        <f t="shared" si="8"/>
        <v>791665</v>
      </c>
    </row>
    <row r="99" spans="1:3" x14ac:dyDescent="0.4">
      <c r="A99">
        <v>6</v>
      </c>
      <c r="B99">
        <f t="shared" ref="B99:B117" si="9">B98-$C$91+B8</f>
        <v>216123</v>
      </c>
      <c r="C99">
        <f t="shared" ref="C99:C116" si="10">C98-$C$91</f>
        <v>749998</v>
      </c>
    </row>
    <row r="100" spans="1:3" x14ac:dyDescent="0.4">
      <c r="A100">
        <v>7</v>
      </c>
      <c r="B100">
        <f t="shared" si="9"/>
        <v>1159456</v>
      </c>
      <c r="C100">
        <f t="shared" si="10"/>
        <v>708331</v>
      </c>
    </row>
    <row r="101" spans="1:3" x14ac:dyDescent="0.4">
      <c r="A101">
        <v>8</v>
      </c>
      <c r="B101">
        <f t="shared" si="9"/>
        <v>3625289</v>
      </c>
      <c r="C101">
        <f t="shared" si="10"/>
        <v>666664</v>
      </c>
    </row>
    <row r="102" spans="1:3" x14ac:dyDescent="0.4">
      <c r="A102">
        <v>9</v>
      </c>
      <c r="B102">
        <f t="shared" si="9"/>
        <v>6598622</v>
      </c>
      <c r="C102">
        <f t="shared" si="10"/>
        <v>624997</v>
      </c>
    </row>
    <row r="103" spans="1:3" x14ac:dyDescent="0.4">
      <c r="A103">
        <v>10</v>
      </c>
      <c r="B103">
        <f t="shared" si="9"/>
        <v>9318205</v>
      </c>
      <c r="C103">
        <f t="shared" si="10"/>
        <v>583330</v>
      </c>
    </row>
    <row r="104" spans="1:3" x14ac:dyDescent="0.4">
      <c r="A104">
        <v>11</v>
      </c>
      <c r="B104">
        <f t="shared" si="9"/>
        <v>12342288</v>
      </c>
      <c r="C104">
        <f t="shared" si="10"/>
        <v>541663</v>
      </c>
    </row>
    <row r="105" spans="1:3" x14ac:dyDescent="0.4">
      <c r="A105">
        <v>12</v>
      </c>
      <c r="B105">
        <f t="shared" si="9"/>
        <v>15214121</v>
      </c>
      <c r="C105">
        <f t="shared" si="10"/>
        <v>499996</v>
      </c>
    </row>
    <row r="106" spans="1:3" x14ac:dyDescent="0.4">
      <c r="A106">
        <v>13</v>
      </c>
      <c r="B106">
        <f t="shared" si="9"/>
        <v>18035204</v>
      </c>
      <c r="C106">
        <f t="shared" si="10"/>
        <v>458329</v>
      </c>
    </row>
    <row r="107" spans="1:3" x14ac:dyDescent="0.4">
      <c r="A107">
        <v>14</v>
      </c>
      <c r="B107">
        <f t="shared" si="9"/>
        <v>19414537</v>
      </c>
      <c r="C107">
        <f t="shared" si="10"/>
        <v>416662</v>
      </c>
    </row>
    <row r="108" spans="1:3" x14ac:dyDescent="0.4">
      <c r="A108">
        <v>15</v>
      </c>
      <c r="B108">
        <f t="shared" si="9"/>
        <v>20540120</v>
      </c>
      <c r="C108">
        <f t="shared" si="10"/>
        <v>374995</v>
      </c>
    </row>
    <row r="109" spans="1:3" x14ac:dyDescent="0.4">
      <c r="A109">
        <v>16</v>
      </c>
      <c r="B109">
        <f t="shared" si="9"/>
        <v>22802953</v>
      </c>
      <c r="C109">
        <f t="shared" si="10"/>
        <v>333328</v>
      </c>
    </row>
    <row r="110" spans="1:3" x14ac:dyDescent="0.4">
      <c r="A110">
        <v>17</v>
      </c>
      <c r="B110">
        <f t="shared" si="9"/>
        <v>25319536</v>
      </c>
      <c r="C110">
        <f t="shared" si="10"/>
        <v>291661</v>
      </c>
    </row>
    <row r="111" spans="1:3" x14ac:dyDescent="0.4">
      <c r="A111">
        <v>18</v>
      </c>
      <c r="B111">
        <f t="shared" si="9"/>
        <v>28292869</v>
      </c>
      <c r="C111">
        <f t="shared" si="10"/>
        <v>249994</v>
      </c>
    </row>
    <row r="112" spans="1:3" x14ac:dyDescent="0.4">
      <c r="A112">
        <v>19</v>
      </c>
      <c r="B112">
        <f t="shared" si="9"/>
        <v>31266202</v>
      </c>
      <c r="C112">
        <f t="shared" si="10"/>
        <v>208327</v>
      </c>
    </row>
    <row r="113" spans="1:3" x14ac:dyDescent="0.4">
      <c r="A113">
        <v>20</v>
      </c>
      <c r="B113">
        <f t="shared" si="9"/>
        <v>33985785</v>
      </c>
      <c r="C113">
        <f t="shared" si="10"/>
        <v>166660</v>
      </c>
    </row>
    <row r="114" spans="1:3" x14ac:dyDescent="0.4">
      <c r="A114">
        <v>21</v>
      </c>
      <c r="B114">
        <f t="shared" si="9"/>
        <v>37009868</v>
      </c>
      <c r="C114">
        <f t="shared" si="10"/>
        <v>124993</v>
      </c>
    </row>
    <row r="115" spans="1:3" x14ac:dyDescent="0.4">
      <c r="A115">
        <v>22</v>
      </c>
      <c r="B115">
        <f t="shared" si="9"/>
        <v>39272701</v>
      </c>
      <c r="C115">
        <f t="shared" si="10"/>
        <v>83326</v>
      </c>
    </row>
    <row r="116" spans="1:3" x14ac:dyDescent="0.4">
      <c r="A116">
        <v>23</v>
      </c>
      <c r="B116">
        <f t="shared" si="9"/>
        <v>41789284</v>
      </c>
      <c r="C116">
        <f t="shared" si="10"/>
        <v>41659</v>
      </c>
    </row>
    <row r="117" spans="1:3" x14ac:dyDescent="0.4">
      <c r="A117">
        <v>24</v>
      </c>
      <c r="B117">
        <f t="shared" si="9"/>
        <v>44762617</v>
      </c>
      <c r="C117">
        <f>0</f>
        <v>0</v>
      </c>
    </row>
  </sheetData>
  <mergeCells count="2">
    <mergeCell ref="I59:I60"/>
    <mergeCell ref="J59:O59"/>
  </mergeCells>
  <pageMargins left="0.7" right="0.7" top="0.75" bottom="0.75" header="0.511811023622047" footer="0.511811023622047"/>
  <pageSetup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АUХ</dc:creator>
  <dc:description/>
  <cp:lastModifiedBy>Nikita</cp:lastModifiedBy>
  <cp:revision>23</cp:revision>
  <dcterms:created xsi:type="dcterms:W3CDTF">2022-04-22T18:15:11Z</dcterms:created>
  <dcterms:modified xsi:type="dcterms:W3CDTF">2022-04-30T21:03:02Z</dcterms:modified>
  <dc:language>en-US</dc:language>
</cp:coreProperties>
</file>