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drawings/drawing2.xml" ContentType="application/vnd.openxmlformats-officedocument.drawing+xml"/>
  <Override PartName="/xl/tables/table15.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7.xml" ContentType="application/vnd.openxmlformats-officedocument.drawing+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charts/chart9.xml" ContentType="application/vnd.openxmlformats-officedocument.drawingml.chart+xml"/>
  <Override PartName="/xl/drawings/drawing8.xml" ContentType="application/vnd.openxmlformats-officedocument.drawing+xml"/>
  <Override PartName="/xl/tables/table34.xml" ContentType="application/vnd.openxmlformats-officedocument.spreadsheetml.table+xml"/>
  <Override PartName="/xl/drawings/drawing9.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asan\Desktop\"/>
    </mc:Choice>
  </mc:AlternateContent>
  <bookViews>
    <workbookView xWindow="0" yWindow="0" windowWidth="22140" windowHeight="10110" tabRatio="932" activeTab="6"/>
  </bookViews>
  <sheets>
    <sheet name="DASHBOARD" sheetId="3" r:id="rId1"/>
    <sheet name="INCOME" sheetId="5" r:id="rId2"/>
    <sheet name="EXPENSES" sheetId="4" r:id="rId3"/>
    <sheet name="Channel Marketing Budget" sheetId="15" r:id="rId4"/>
    <sheet name="February" sheetId="7" r:id="rId5"/>
    <sheet name="Expense statement" sheetId="14" r:id="rId6"/>
    <sheet name="COST DATA and CHART" sheetId="13" r:id="rId7"/>
    <sheet name="Family Budget" sheetId="12" r:id="rId8"/>
    <sheet name="Profit - Loss Summary" sheetId="11" r:id="rId9"/>
    <sheet name="Income (2)" sheetId="10" r:id="rId10"/>
    <sheet name="Expenses (2)" sheetId="9" r:id="rId11"/>
    <sheet name="Budget Planner" sheetId="2" r:id="rId12"/>
    <sheet name="January" sheetId="6" r:id="rId13"/>
    <sheet name="project" sheetId="8" r:id="rId14"/>
  </sheets>
  <definedNames>
    <definedName name="Actual">(PeriodInActual*(project!$E1&gt;0))*PeriodInPlan</definedName>
    <definedName name="Actual1">Housing[[#Totals],[Actual]]</definedName>
    <definedName name="Actual10">Taxes[[#Totals],[Actual]]</definedName>
    <definedName name="Actual11">Savings[[#Totals],[Actual]]</definedName>
    <definedName name="Actual12">Gifts[[#Totals],[Actual]]</definedName>
    <definedName name="Actual13">Legal[[#Totals],[Actual]]</definedName>
    <definedName name="Actual2">Transportation[[#Totals],[Actual]]</definedName>
    <definedName name="Actual3">Insurance[[#Totals],[Actual]]</definedName>
    <definedName name="Actual4">Food[[#Totals],[Actual]]</definedName>
    <definedName name="Actual5">Children[[#Totals],[Actual]]</definedName>
    <definedName name="Actual6">Pets[[#Totals],[Actual]]</definedName>
    <definedName name="Actual7">PersonalCare[[#Totals],[Actual]]</definedName>
    <definedName name="Actual8">Entertainment[[#Totals],[Actual]]</definedName>
    <definedName name="Actual9">Loans[[#Totals],[Actual]]</definedName>
    <definedName name="ActualBeyond">PeriodInActual*(project!$E1&gt;0)</definedName>
    <definedName name="BudgetYear">'Family Budget'!$C$2</definedName>
    <definedName name="CalendarYear">January!$AG$2</definedName>
    <definedName name="KeyCustom1">January!$S$12</definedName>
    <definedName name="KeyCustom1Label">January!$T$12</definedName>
    <definedName name="KeyCustom2">January!$W$12</definedName>
    <definedName name="KeyCustom2Label">January!$X$12</definedName>
    <definedName name="KeyPersonal">January!$K$12</definedName>
    <definedName name="KeyPersonalLabel">January!$L$12</definedName>
    <definedName name="KeySick">January!$O$12</definedName>
    <definedName name="KeySickLabel">January!$P$12</definedName>
    <definedName name="KeyVacation">January!$G$12</definedName>
    <definedName name="KeyVacationLabel">January!$H$12</definedName>
    <definedName name="MonthName" localSheetId="4">February!$A$2</definedName>
    <definedName name="MonthName" localSheetId="12">January!$A$2</definedName>
    <definedName name="PercentComplete">PercentCompleteBeyond*PeriodInPlan</definedName>
    <definedName name="PercentCompleteBeyond">(project!A$8=MEDIAN(project!A$8,project!$E1,project!$E1+project!$F1)*(project!$E1&gt;0))*((project!A$8&lt;(INT(project!$E1+project!$F1*project!$G1)))+(project!A$8=project!$E1))*(project!$G1&gt;0)</definedName>
    <definedName name="period_selected">project!$N$3</definedName>
    <definedName name="PeriodInActual">project!A$8=MEDIAN(project!A$8,project!$E1,project!$E1+project!$F1-1)</definedName>
    <definedName name="PeriodInPlan">project!A$8=MEDIAN(project!A$8,project!$C1,project!$C1+project!$D1-1)</definedName>
    <definedName name="Plan">PeriodInPlan*(project!$C1&gt;0)</definedName>
    <definedName name="_xlnm.Print_Area" localSheetId="10">'Expenses (2)'!$B$1:$H$54</definedName>
    <definedName name="_xlnm.Print_Titles" localSheetId="3">'Channel Marketing Budget'!$2:$2</definedName>
    <definedName name="_xlnm.Print_Titles" localSheetId="7">'Family Budget'!$13:$13</definedName>
    <definedName name="Projected1">Housing[[#Totals],[Projected]]</definedName>
    <definedName name="Projected10">Taxes[[#Totals],[Projected]]</definedName>
    <definedName name="Projected11">Savings[[#Totals],[Projected]]</definedName>
    <definedName name="Projected12">Gifts[[#Totals],[Projected]]</definedName>
    <definedName name="Projected13">Legal[[#Totals],[Projected]]</definedName>
    <definedName name="Projected2">Transportation[[#Totals],[Projected]]</definedName>
    <definedName name="Projected3">Insurance[[#Totals],[Projected]]</definedName>
    <definedName name="Projected4">Food[[#Totals],[Projected]]</definedName>
    <definedName name="Projected5">Children[[#Totals],[Projected]]</definedName>
    <definedName name="Projected6">Pets[[#Totals],[Projected]]</definedName>
    <definedName name="Projected7">PersonalCare[[#Totals],[Projected]]</definedName>
    <definedName name="Projected8">Entertainment[[#Totals],[Projected]]</definedName>
    <definedName name="Projected9">Loans[[#Totals],[Projected]]</definedName>
    <definedName name="totalExpenseActual">SUM(Actual1,Actual2,Actual3,Actual4,Actual5,Actual6,Actual7,Actual8,Actual9,Actual10,Actual11,Actual12,Actual13)</definedName>
    <definedName name="totalExpenseProjected">SUM(Projected1,Projected2,Projected3,Projected4,Projected5,Projected6,Projected7,Projected8,Projected9,Projected10,Projected11,Projected12,Projected13)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 i="15" l="1"/>
  <c r="D4" i="15"/>
  <c r="E4" i="15"/>
  <c r="F4" i="15"/>
  <c r="G4" i="15"/>
  <c r="H4" i="15"/>
  <c r="I4" i="15"/>
  <c r="J4" i="15"/>
  <c r="K4" i="15"/>
  <c r="L4" i="15"/>
  <c r="M4" i="15"/>
  <c r="N4" i="15"/>
  <c r="O4" i="15"/>
  <c r="D5" i="15"/>
  <c r="E5" i="15"/>
  <c r="E6" i="15" s="1"/>
  <c r="F5" i="15"/>
  <c r="G5" i="15"/>
  <c r="G6" i="15" s="1"/>
  <c r="G8" i="15" s="1"/>
  <c r="G58" i="15" s="1"/>
  <c r="H5" i="15"/>
  <c r="I5" i="15"/>
  <c r="J5" i="15"/>
  <c r="K5" i="15"/>
  <c r="L5" i="15"/>
  <c r="M5" i="15"/>
  <c r="M6" i="15" s="1"/>
  <c r="M8" i="15" s="1"/>
  <c r="N5" i="15"/>
  <c r="O5" i="15"/>
  <c r="O6" i="15" s="1"/>
  <c r="O8" i="15" s="1"/>
  <c r="O58" i="15" s="1"/>
  <c r="D6" i="15"/>
  <c r="F6" i="15"/>
  <c r="H6" i="15"/>
  <c r="I6" i="15"/>
  <c r="I8" i="15" s="1"/>
  <c r="J6" i="15"/>
  <c r="K6" i="15"/>
  <c r="L6" i="15"/>
  <c r="N6" i="15"/>
  <c r="D7" i="15"/>
  <c r="Q7" i="15" s="1"/>
  <c r="E7" i="15"/>
  <c r="F7" i="15"/>
  <c r="F8" i="15" s="1"/>
  <c r="G7" i="15"/>
  <c r="H7" i="15"/>
  <c r="H8" i="15" s="1"/>
  <c r="I7" i="15"/>
  <c r="J7" i="15"/>
  <c r="K7" i="15"/>
  <c r="L7" i="15"/>
  <c r="L8" i="15" s="1"/>
  <c r="M7" i="15"/>
  <c r="N7" i="15"/>
  <c r="N8" i="15" s="1"/>
  <c r="O7" i="15"/>
  <c r="J8" i="15"/>
  <c r="K8" i="15"/>
  <c r="D11" i="15"/>
  <c r="Q11" i="15" s="1"/>
  <c r="E11" i="15"/>
  <c r="F11" i="15"/>
  <c r="G11" i="15"/>
  <c r="H11" i="15"/>
  <c r="I11" i="15"/>
  <c r="J11" i="15"/>
  <c r="J15" i="15" s="1"/>
  <c r="J27" i="15" s="1"/>
  <c r="K11" i="15"/>
  <c r="L11" i="15"/>
  <c r="L15" i="15" s="1"/>
  <c r="L27" i="15" s="1"/>
  <c r="M11" i="15"/>
  <c r="N11" i="15"/>
  <c r="O11" i="15"/>
  <c r="Q12" i="15"/>
  <c r="D13" i="15"/>
  <c r="Q13" i="15" s="1"/>
  <c r="E13" i="15"/>
  <c r="F13" i="15"/>
  <c r="G13" i="15"/>
  <c r="H13" i="15"/>
  <c r="I13" i="15"/>
  <c r="J13" i="15"/>
  <c r="K13" i="15"/>
  <c r="L13" i="15"/>
  <c r="M13" i="15"/>
  <c r="N13" i="15"/>
  <c r="O13" i="15"/>
  <c r="Q14" i="15"/>
  <c r="E15" i="15"/>
  <c r="F15" i="15"/>
  <c r="F27" i="15" s="1"/>
  <c r="G15" i="15"/>
  <c r="H15" i="15"/>
  <c r="I15" i="15"/>
  <c r="K15" i="15"/>
  <c r="M15" i="15"/>
  <c r="N15" i="15"/>
  <c r="N27" i="15" s="1"/>
  <c r="O15" i="15"/>
  <c r="D17" i="15"/>
  <c r="E17" i="15"/>
  <c r="Q17" i="15" s="1"/>
  <c r="F17" i="15"/>
  <c r="G17" i="15"/>
  <c r="H17" i="15"/>
  <c r="I17" i="15"/>
  <c r="J17" i="15"/>
  <c r="K17" i="15"/>
  <c r="L17" i="15"/>
  <c r="M17" i="15"/>
  <c r="N17" i="15"/>
  <c r="O17" i="15"/>
  <c r="Q18" i="15"/>
  <c r="Q19" i="15"/>
  <c r="Q20" i="15"/>
  <c r="D21" i="15"/>
  <c r="E21" i="15"/>
  <c r="Q21" i="15" s="1"/>
  <c r="F21" i="15"/>
  <c r="G21" i="15"/>
  <c r="H21" i="15"/>
  <c r="I21" i="15"/>
  <c r="I27" i="15" s="1"/>
  <c r="J21" i="15"/>
  <c r="K21" i="15"/>
  <c r="K27" i="15" s="1"/>
  <c r="K58" i="15" s="1"/>
  <c r="L21" i="15"/>
  <c r="M21" i="15"/>
  <c r="M27" i="15" s="1"/>
  <c r="N21" i="15"/>
  <c r="O21" i="15"/>
  <c r="Q23" i="15"/>
  <c r="Q26" i="15" s="1"/>
  <c r="Q24" i="15"/>
  <c r="Q25" i="15"/>
  <c r="D26" i="15"/>
  <c r="E26" i="15"/>
  <c r="F26" i="15"/>
  <c r="G26" i="15"/>
  <c r="H26" i="15"/>
  <c r="I26" i="15"/>
  <c r="J26" i="15"/>
  <c r="K26" i="15"/>
  <c r="L26" i="15"/>
  <c r="M26" i="15"/>
  <c r="N26" i="15"/>
  <c r="O26" i="15"/>
  <c r="G27" i="15"/>
  <c r="H27" i="15"/>
  <c r="O27" i="15"/>
  <c r="Q29" i="15"/>
  <c r="Q30" i="15"/>
  <c r="Q31" i="15"/>
  <c r="D32" i="15"/>
  <c r="D34" i="15" s="1"/>
  <c r="E32" i="15"/>
  <c r="F32" i="15"/>
  <c r="G32" i="15"/>
  <c r="H32" i="15"/>
  <c r="H34" i="15" s="1"/>
  <c r="I32" i="15"/>
  <c r="J32" i="15"/>
  <c r="K32" i="15"/>
  <c r="L32" i="15"/>
  <c r="L34" i="15" s="1"/>
  <c r="M32" i="15"/>
  <c r="N32" i="15"/>
  <c r="O32" i="15"/>
  <c r="D33" i="15"/>
  <c r="E33" i="15"/>
  <c r="Q33" i="15" s="1"/>
  <c r="F33" i="15"/>
  <c r="G33" i="15"/>
  <c r="G34" i="15" s="1"/>
  <c r="H33" i="15"/>
  <c r="I33" i="15"/>
  <c r="I34" i="15" s="1"/>
  <c r="J33" i="15"/>
  <c r="K33" i="15"/>
  <c r="K34" i="15" s="1"/>
  <c r="L33" i="15"/>
  <c r="M33" i="15"/>
  <c r="N33" i="15"/>
  <c r="O33" i="15"/>
  <c r="O34" i="15" s="1"/>
  <c r="E34" i="15"/>
  <c r="F34" i="15"/>
  <c r="J34" i="15"/>
  <c r="M34" i="15"/>
  <c r="N34" i="15"/>
  <c r="Q36" i="15"/>
  <c r="Q37" i="15"/>
  <c r="Q40" i="15" s="1"/>
  <c r="Q38" i="15"/>
  <c r="D39" i="15"/>
  <c r="Q39" i="15" s="1"/>
  <c r="E39" i="15"/>
  <c r="F39" i="15"/>
  <c r="F40" i="15" s="1"/>
  <c r="G39" i="15"/>
  <c r="H39" i="15"/>
  <c r="H40" i="15" s="1"/>
  <c r="I39" i="15"/>
  <c r="J39" i="15"/>
  <c r="J40" i="15" s="1"/>
  <c r="K39" i="15"/>
  <c r="L39" i="15"/>
  <c r="L40" i="15" s="1"/>
  <c r="M39" i="15"/>
  <c r="N39" i="15"/>
  <c r="N40" i="15" s="1"/>
  <c r="O39" i="15"/>
  <c r="E40" i="15"/>
  <c r="G40" i="15"/>
  <c r="I40" i="15"/>
  <c r="K40" i="15"/>
  <c r="M40" i="15"/>
  <c r="O40" i="15"/>
  <c r="Q42" i="15"/>
  <c r="Q43" i="15"/>
  <c r="Q44" i="15"/>
  <c r="D45" i="15"/>
  <c r="E45" i="15"/>
  <c r="Q45" i="15" s="1"/>
  <c r="Q46" i="15" s="1"/>
  <c r="F45" i="15"/>
  <c r="G45" i="15"/>
  <c r="G46" i="15" s="1"/>
  <c r="H45" i="15"/>
  <c r="I45" i="15"/>
  <c r="I46" i="15" s="1"/>
  <c r="J45" i="15"/>
  <c r="K45" i="15"/>
  <c r="K46" i="15" s="1"/>
  <c r="L45" i="15"/>
  <c r="M45" i="15"/>
  <c r="M46" i="15" s="1"/>
  <c r="N45" i="15"/>
  <c r="O45" i="15"/>
  <c r="O46" i="15" s="1"/>
  <c r="D46" i="15"/>
  <c r="F46" i="15"/>
  <c r="H46" i="15"/>
  <c r="J46" i="15"/>
  <c r="L46" i="15"/>
  <c r="N46" i="15"/>
  <c r="Q48" i="15"/>
  <c r="Q49" i="15"/>
  <c r="Q50" i="15"/>
  <c r="D51" i="15"/>
  <c r="E51" i="15"/>
  <c r="F51" i="15"/>
  <c r="G51" i="15"/>
  <c r="H51" i="15"/>
  <c r="I51" i="15"/>
  <c r="J51" i="15"/>
  <c r="K51" i="15"/>
  <c r="L51" i="15"/>
  <c r="M51" i="15"/>
  <c r="N51" i="15"/>
  <c r="O51" i="15"/>
  <c r="Q51" i="15"/>
  <c r="Q53" i="15"/>
  <c r="Q54" i="15"/>
  <c r="Q55" i="15"/>
  <c r="D56" i="15"/>
  <c r="E56" i="15"/>
  <c r="F56" i="15"/>
  <c r="G56" i="15"/>
  <c r="H56" i="15"/>
  <c r="I56" i="15"/>
  <c r="J56" i="15"/>
  <c r="K56" i="15"/>
  <c r="L56" i="15"/>
  <c r="M56" i="15"/>
  <c r="N56" i="15"/>
  <c r="O56" i="15"/>
  <c r="Q56" i="15"/>
  <c r="M58" i="15" l="1"/>
  <c r="E8" i="15"/>
  <c r="Q6" i="15"/>
  <c r="J58" i="15"/>
  <c r="H58" i="15"/>
  <c r="I58" i="15"/>
  <c r="N58" i="15"/>
  <c r="F58" i="15"/>
  <c r="L58" i="15"/>
  <c r="E27" i="15"/>
  <c r="D40" i="15"/>
  <c r="D15" i="15"/>
  <c r="E46" i="15"/>
  <c r="D8" i="15"/>
  <c r="Q32" i="15"/>
  <c r="Q34" i="15" s="1"/>
  <c r="K6" i="14"/>
  <c r="K7" i="14"/>
  <c r="K12" i="14"/>
  <c r="K13" i="14"/>
  <c r="K14" i="14"/>
  <c r="K23" i="14" s="1"/>
  <c r="K25" i="14" s="1"/>
  <c r="K15" i="14"/>
  <c r="K16" i="14"/>
  <c r="K17" i="14"/>
  <c r="K18" i="14"/>
  <c r="K19" i="14"/>
  <c r="K20" i="14"/>
  <c r="K21" i="14"/>
  <c r="D22" i="14"/>
  <c r="E22" i="14"/>
  <c r="F22" i="14"/>
  <c r="G22" i="14"/>
  <c r="H22" i="14"/>
  <c r="I22" i="14"/>
  <c r="J22" i="14"/>
  <c r="Q8" i="15" l="1"/>
  <c r="Q58" i="15" s="1"/>
  <c r="Q15" i="15"/>
  <c r="Q27" i="15" s="1"/>
  <c r="D27" i="15"/>
  <c r="D58" i="15" s="1"/>
  <c r="E58" i="15"/>
  <c r="D42" i="13"/>
  <c r="D52" i="13" s="1"/>
  <c r="E42" i="13"/>
  <c r="D43" i="13"/>
  <c r="E46" i="13" s="1"/>
  <c r="E43" i="13"/>
  <c r="D44" i="13"/>
  <c r="D45" i="13"/>
  <c r="D46" i="13"/>
  <c r="D47" i="13"/>
  <c r="E51" i="13" s="1"/>
  <c r="D48" i="13"/>
  <c r="D49" i="13"/>
  <c r="D50" i="13"/>
  <c r="E50" i="13"/>
  <c r="D51" i="13"/>
  <c r="C52" i="13"/>
  <c r="E47" i="13" l="1"/>
  <c r="E49" i="13"/>
  <c r="E45" i="13"/>
  <c r="E48" i="13"/>
  <c r="E44" i="13"/>
  <c r="O8" i="12"/>
  <c r="O9" i="12"/>
  <c r="O10" i="12"/>
  <c r="C11" i="12"/>
  <c r="C5" i="12" s="1"/>
  <c r="D11" i="12"/>
  <c r="D5" i="12" s="1"/>
  <c r="E11" i="12"/>
  <c r="E5" i="12" s="1"/>
  <c r="F11" i="12"/>
  <c r="F5" i="12" s="1"/>
  <c r="G11" i="12"/>
  <c r="G5" i="12" s="1"/>
  <c r="H11" i="12"/>
  <c r="H5" i="12" s="1"/>
  <c r="I11" i="12"/>
  <c r="I5" i="12" s="1"/>
  <c r="J11" i="12"/>
  <c r="J5" i="12" s="1"/>
  <c r="K11" i="12"/>
  <c r="K5" i="12" s="1"/>
  <c r="L11" i="12"/>
  <c r="L5" i="12" s="1"/>
  <c r="M11" i="12"/>
  <c r="M5" i="12" s="1"/>
  <c r="N11" i="12"/>
  <c r="N5" i="12" s="1"/>
  <c r="O11" i="12"/>
  <c r="O14" i="12"/>
  <c r="O15" i="12"/>
  <c r="O16" i="12"/>
  <c r="O17" i="12"/>
  <c r="O18" i="12"/>
  <c r="O28" i="12" s="1"/>
  <c r="O19" i="12"/>
  <c r="O20" i="12"/>
  <c r="O21" i="12"/>
  <c r="O22" i="12"/>
  <c r="O23" i="12"/>
  <c r="O24" i="12"/>
  <c r="O25" i="12"/>
  <c r="O26" i="12"/>
  <c r="O27" i="12"/>
  <c r="C28" i="12"/>
  <c r="D28" i="12"/>
  <c r="E28" i="12"/>
  <c r="F28" i="12"/>
  <c r="G28" i="12"/>
  <c r="H28" i="12"/>
  <c r="I28" i="12"/>
  <c r="J28" i="12"/>
  <c r="K28" i="12"/>
  <c r="L28" i="12"/>
  <c r="M28" i="12"/>
  <c r="N28" i="12"/>
  <c r="O5" i="12" l="1"/>
  <c r="B1" i="11"/>
  <c r="C5" i="11"/>
  <c r="C9" i="11" s="1"/>
  <c r="D5" i="11"/>
  <c r="C6" i="11"/>
  <c r="D6" i="11"/>
  <c r="D9" i="11" s="1"/>
  <c r="B1" i="10"/>
  <c r="G6" i="10"/>
  <c r="G9" i="10" s="1"/>
  <c r="G34" i="10" s="1"/>
  <c r="H6" i="10"/>
  <c r="G7" i="10"/>
  <c r="H7" i="10"/>
  <c r="G8" i="10"/>
  <c r="H8" i="10"/>
  <c r="H9" i="10"/>
  <c r="H34" i="10" s="1"/>
  <c r="G13" i="10"/>
  <c r="G16" i="10" s="1"/>
  <c r="H13" i="10"/>
  <c r="G14" i="10"/>
  <c r="H14" i="10"/>
  <c r="G15" i="10"/>
  <c r="H15" i="10"/>
  <c r="H16" i="10"/>
  <c r="G20" i="10"/>
  <c r="G23" i="10" s="1"/>
  <c r="H20" i="10"/>
  <c r="G21" i="10"/>
  <c r="H21" i="10"/>
  <c r="G22" i="10"/>
  <c r="H22" i="10"/>
  <c r="H23" i="10"/>
  <c r="G27" i="10"/>
  <c r="H27" i="10"/>
  <c r="G28" i="10"/>
  <c r="H28" i="10"/>
  <c r="G29" i="10"/>
  <c r="H29" i="10"/>
  <c r="H31" i="10" s="1"/>
  <c r="G30" i="10"/>
  <c r="H30" i="10"/>
  <c r="G31" i="10"/>
  <c r="C10" i="9"/>
  <c r="C54" i="9" s="1"/>
  <c r="D10" i="9"/>
  <c r="D54" i="9" s="1"/>
  <c r="C18" i="9"/>
  <c r="D18" i="9"/>
  <c r="C24" i="9"/>
  <c r="D24" i="9"/>
  <c r="C31" i="9"/>
  <c r="D31" i="9"/>
  <c r="C38" i="9"/>
  <c r="D38" i="9"/>
  <c r="C46" i="9"/>
  <c r="D46" i="9"/>
  <c r="C51" i="9"/>
  <c r="D51" i="9"/>
  <c r="AG2" i="7" l="1"/>
  <c r="B3" i="7"/>
  <c r="C3" i="7"/>
  <c r="D3" i="7"/>
  <c r="E3" i="7"/>
  <c r="F3" i="7"/>
  <c r="G3" i="7"/>
  <c r="H3" i="7"/>
  <c r="I3" i="7"/>
  <c r="J3" i="7"/>
  <c r="K3" i="7"/>
  <c r="L3" i="7"/>
  <c r="M3" i="7"/>
  <c r="N3" i="7"/>
  <c r="O3" i="7"/>
  <c r="P3" i="7"/>
  <c r="Q3" i="7"/>
  <c r="R3" i="7"/>
  <c r="S3" i="7"/>
  <c r="T3" i="7"/>
  <c r="U3" i="7"/>
  <c r="V3" i="7"/>
  <c r="W3" i="7"/>
  <c r="X3" i="7"/>
  <c r="Y3" i="7"/>
  <c r="Z3" i="7"/>
  <c r="AA3" i="7"/>
  <c r="AB3" i="7"/>
  <c r="AC3" i="7"/>
  <c r="AD3" i="7"/>
  <c r="AG5" i="7"/>
  <c r="AG10" i="7" s="1"/>
  <c r="AG6" i="7"/>
  <c r="AG7" i="7"/>
  <c r="AG8" i="7"/>
  <c r="AG9" i="7"/>
  <c r="A10" i="7"/>
  <c r="B10" i="7"/>
  <c r="C10" i="7"/>
  <c r="D10" i="7"/>
  <c r="E10" i="7"/>
  <c r="F10" i="7"/>
  <c r="G10" i="7"/>
  <c r="H10" i="7"/>
  <c r="I10" i="7"/>
  <c r="J10" i="7"/>
  <c r="K10" i="7"/>
  <c r="L10" i="7"/>
  <c r="M10" i="7"/>
  <c r="N10" i="7"/>
  <c r="O10" i="7"/>
  <c r="P10" i="7"/>
  <c r="Q10" i="7"/>
  <c r="R10" i="7"/>
  <c r="S10" i="7"/>
  <c r="T10" i="7"/>
  <c r="U10" i="7"/>
  <c r="V10" i="7"/>
  <c r="W10" i="7"/>
  <c r="X10" i="7"/>
  <c r="Y10" i="7"/>
  <c r="Z10" i="7"/>
  <c r="AA10" i="7"/>
  <c r="AB10" i="7"/>
  <c r="AC10" i="7"/>
  <c r="AD10" i="7"/>
  <c r="B12" i="7"/>
  <c r="G12" i="7"/>
  <c r="H12" i="7"/>
  <c r="K12" i="7"/>
  <c r="L12" i="7"/>
  <c r="O12" i="7"/>
  <c r="P12" i="7"/>
  <c r="S12" i="7"/>
  <c r="T12" i="7"/>
  <c r="W12" i="7"/>
  <c r="X12" i="7"/>
  <c r="B3" i="6"/>
  <c r="C3" i="6"/>
  <c r="D3" i="6"/>
  <c r="E3" i="6"/>
  <c r="F3" i="6"/>
  <c r="G3" i="6"/>
  <c r="H3" i="6"/>
  <c r="I3" i="6"/>
  <c r="J3" i="6"/>
  <c r="K3" i="6"/>
  <c r="L3" i="6"/>
  <c r="M3" i="6"/>
  <c r="N3" i="6"/>
  <c r="O3" i="6"/>
  <c r="P3" i="6"/>
  <c r="Q3" i="6"/>
  <c r="R3" i="6"/>
  <c r="S3" i="6"/>
  <c r="T3" i="6"/>
  <c r="U3" i="6"/>
  <c r="V3" i="6"/>
  <c r="W3" i="6"/>
  <c r="X3" i="6"/>
  <c r="Y3" i="6"/>
  <c r="Z3" i="6"/>
  <c r="AA3" i="6"/>
  <c r="AB3" i="6"/>
  <c r="AC3" i="6"/>
  <c r="AD3" i="6"/>
  <c r="AE3" i="6"/>
  <c r="AF3" i="6"/>
  <c r="AG5" i="6"/>
  <c r="AG10" i="6" s="1"/>
  <c r="AG6" i="6"/>
  <c r="AG7" i="6"/>
  <c r="AG8" i="6"/>
  <c r="AG9" i="6"/>
  <c r="A10" i="6"/>
  <c r="B10" i="6"/>
  <c r="C10" i="6"/>
  <c r="D10" i="6"/>
  <c r="E10" i="6"/>
  <c r="F10" i="6"/>
  <c r="G10" i="6"/>
  <c r="H10" i="6"/>
  <c r="I10" i="6"/>
  <c r="J10" i="6"/>
  <c r="K10" i="6"/>
  <c r="L10" i="6"/>
  <c r="M10" i="6"/>
  <c r="N10" i="6"/>
  <c r="O10" i="6"/>
  <c r="P10" i="6"/>
  <c r="Q10" i="6"/>
  <c r="R10" i="6"/>
  <c r="S10" i="6"/>
  <c r="T10" i="6"/>
  <c r="U10" i="6"/>
  <c r="V10" i="6"/>
  <c r="W10" i="6"/>
  <c r="X10" i="6"/>
  <c r="Y10" i="6"/>
  <c r="Z10" i="6"/>
  <c r="AA10" i="6"/>
  <c r="AB10" i="6"/>
  <c r="AC10" i="6"/>
  <c r="AD10" i="6"/>
  <c r="AE10" i="6"/>
  <c r="AF10" i="6"/>
  <c r="B2" i="5" l="1"/>
  <c r="F8" i="5"/>
  <c r="G8" i="5"/>
  <c r="G5" i="5" s="1"/>
  <c r="D6" i="3" s="1"/>
  <c r="F9" i="5"/>
  <c r="G9" i="5"/>
  <c r="F10" i="5"/>
  <c r="F5" i="5" s="1"/>
  <c r="C6" i="3" s="1"/>
  <c r="G10" i="5"/>
  <c r="F11" i="5"/>
  <c r="F15" i="5"/>
  <c r="G15" i="5"/>
  <c r="G18" i="5" s="1"/>
  <c r="F16" i="5"/>
  <c r="G16" i="5"/>
  <c r="F17" i="5"/>
  <c r="G17" i="5"/>
  <c r="F18" i="5"/>
  <c r="F22" i="5"/>
  <c r="G22" i="5"/>
  <c r="G25" i="5" s="1"/>
  <c r="F23" i="5"/>
  <c r="G23" i="5"/>
  <c r="F24" i="5"/>
  <c r="G24" i="5"/>
  <c r="F25" i="5"/>
  <c r="F29" i="5"/>
  <c r="G29" i="5"/>
  <c r="F30" i="5"/>
  <c r="G30" i="5"/>
  <c r="F31" i="5"/>
  <c r="F33" i="5" s="1"/>
  <c r="G31" i="5"/>
  <c r="F32" i="5"/>
  <c r="G32" i="5"/>
  <c r="G33" i="5"/>
  <c r="B2" i="4"/>
  <c r="G5" i="4"/>
  <c r="C7" i="3" s="1"/>
  <c r="H5" i="4"/>
  <c r="D7" i="3" s="1"/>
  <c r="C12" i="4"/>
  <c r="D12" i="4"/>
  <c r="G12" i="4"/>
  <c r="H12" i="4"/>
  <c r="C21" i="4"/>
  <c r="D21" i="4"/>
  <c r="G21" i="4"/>
  <c r="H21" i="4"/>
  <c r="G27" i="4"/>
  <c r="H27" i="4"/>
  <c r="C28" i="4"/>
  <c r="D28" i="4"/>
  <c r="C36" i="4"/>
  <c r="D36" i="4"/>
  <c r="C8" i="3" l="1"/>
  <c r="G11" i="5"/>
  <c r="D8" i="3"/>
  <c r="D13" i="2" l="1"/>
  <c r="E13" i="2"/>
  <c r="F18" i="2"/>
  <c r="F19" i="2"/>
  <c r="F13" i="2" s="1"/>
  <c r="F20" i="2"/>
  <c r="F21" i="2"/>
  <c r="D22" i="2"/>
  <c r="E22" i="2"/>
  <c r="F25" i="2"/>
  <c r="F26" i="2"/>
  <c r="F27" i="2"/>
  <c r="F28" i="2"/>
  <c r="F29" i="2"/>
  <c r="F30" i="2"/>
  <c r="F31" i="2"/>
  <c r="F36" i="2" s="1"/>
  <c r="F32" i="2"/>
  <c r="F33" i="2"/>
  <c r="F34" i="2"/>
  <c r="F35" i="2"/>
  <c r="D36" i="2"/>
  <c r="E36" i="2"/>
  <c r="F39" i="2"/>
  <c r="F40" i="2"/>
  <c r="F41" i="2"/>
  <c r="F42" i="2"/>
  <c r="F43" i="2"/>
  <c r="F44" i="2"/>
  <c r="F45" i="2"/>
  <c r="F46" i="2"/>
  <c r="D47" i="2"/>
  <c r="E47" i="2"/>
  <c r="F50" i="2"/>
  <c r="F51" i="2"/>
  <c r="F52" i="2"/>
  <c r="F53" i="2"/>
  <c r="D54" i="2"/>
  <c r="E54" i="2"/>
  <c r="F57" i="2"/>
  <c r="F60" i="2" s="1"/>
  <c r="F58" i="2"/>
  <c r="F59" i="2"/>
  <c r="D60" i="2"/>
  <c r="E60" i="2"/>
  <c r="F63" i="2"/>
  <c r="F64" i="2"/>
  <c r="F65" i="2"/>
  <c r="F66" i="2"/>
  <c r="F67" i="2"/>
  <c r="F68" i="2"/>
  <c r="F69" i="2"/>
  <c r="F70" i="2"/>
  <c r="F71" i="2"/>
  <c r="D72" i="2"/>
  <c r="E72" i="2"/>
  <c r="F75" i="2"/>
  <c r="F80" i="2" s="1"/>
  <c r="F76" i="2"/>
  <c r="F77" i="2"/>
  <c r="F78" i="2"/>
  <c r="F79" i="2"/>
  <c r="D80" i="2"/>
  <c r="E80" i="2"/>
  <c r="F83" i="2"/>
  <c r="F84" i="2"/>
  <c r="F85" i="2"/>
  <c r="F86" i="2"/>
  <c r="F87" i="2"/>
  <c r="F88" i="2"/>
  <c r="F89" i="2"/>
  <c r="D90" i="2"/>
  <c r="E90" i="2"/>
  <c r="F93" i="2"/>
  <c r="F94" i="2"/>
  <c r="F95" i="2"/>
  <c r="F96" i="2"/>
  <c r="F97" i="2"/>
  <c r="F98" i="2"/>
  <c r="F99" i="2"/>
  <c r="D100" i="2"/>
  <c r="E100" i="2"/>
  <c r="F103" i="2"/>
  <c r="F104" i="2"/>
  <c r="F105" i="2"/>
  <c r="F106" i="2"/>
  <c r="F107" i="2"/>
  <c r="F109" i="2" s="1"/>
  <c r="F108" i="2"/>
  <c r="D109" i="2"/>
  <c r="E109" i="2"/>
  <c r="F112" i="2"/>
  <c r="F113" i="2"/>
  <c r="F114" i="2"/>
  <c r="F115" i="2"/>
  <c r="D116" i="2"/>
  <c r="E116" i="2"/>
  <c r="F116" i="2"/>
  <c r="F119" i="2"/>
  <c r="F123" i="2" s="1"/>
  <c r="F120" i="2"/>
  <c r="F121" i="2"/>
  <c r="F122" i="2"/>
  <c r="D123" i="2"/>
  <c r="E123" i="2"/>
  <c r="F126" i="2"/>
  <c r="F127" i="2"/>
  <c r="F128" i="2"/>
  <c r="D129" i="2"/>
  <c r="E129" i="2"/>
  <c r="F132" i="2"/>
  <c r="F133" i="2"/>
  <c r="F134" i="2"/>
  <c r="F135" i="2"/>
  <c r="D136" i="2"/>
  <c r="E136" i="2"/>
  <c r="F90" i="2" l="1"/>
  <c r="F129" i="2"/>
  <c r="F47" i="2"/>
  <c r="E14" i="2"/>
  <c r="E15" i="2" s="1"/>
  <c r="D14" i="2"/>
  <c r="F14" i="2" s="1"/>
  <c r="F136" i="2"/>
  <c r="F72" i="2"/>
  <c r="F100" i="2"/>
  <c r="F54" i="2"/>
  <c r="F22" i="2"/>
  <c r="D15" i="2" l="1"/>
  <c r="F15" i="2" s="1"/>
</calcChain>
</file>

<file path=xl/sharedStrings.xml><?xml version="1.0" encoding="utf-8"?>
<sst xmlns="http://schemas.openxmlformats.org/spreadsheetml/2006/main" count="750" uniqueCount="379">
  <si>
    <t>SUBTOTAL</t>
  </si>
  <si>
    <t>Other</t>
  </si>
  <si>
    <t>Payments on lien or judgment</t>
  </si>
  <si>
    <t>Alimony</t>
  </si>
  <si>
    <t>Attorney</t>
  </si>
  <si>
    <t>Variance</t>
  </si>
  <si>
    <t>Actual</t>
  </si>
  <si>
    <t>Projected</t>
  </si>
  <si>
    <t>Legal</t>
  </si>
  <si>
    <t>Charity 3</t>
  </si>
  <si>
    <t>Charity 2</t>
  </si>
  <si>
    <t>Charity 1</t>
  </si>
  <si>
    <t>Gifts and Donations</t>
  </si>
  <si>
    <t>College</t>
  </si>
  <si>
    <t>Investment account</t>
  </si>
  <si>
    <t>Retirement account</t>
  </si>
  <si>
    <t>Savings or Investments</t>
  </si>
  <si>
    <t>Local</t>
  </si>
  <si>
    <t>State</t>
  </si>
  <si>
    <t>Federal</t>
  </si>
  <si>
    <t>Taxes</t>
  </si>
  <si>
    <t>Credit card</t>
  </si>
  <si>
    <t>Student</t>
  </si>
  <si>
    <t>Personal</t>
  </si>
  <si>
    <t>Loans</t>
  </si>
  <si>
    <t>Live theater</t>
  </si>
  <si>
    <t>Sporting events</t>
  </si>
  <si>
    <t>Concerts</t>
  </si>
  <si>
    <t>Movies</t>
  </si>
  <si>
    <t>CDs</t>
  </si>
  <si>
    <t>Video/DVD</t>
  </si>
  <si>
    <t>Entertainment</t>
  </si>
  <si>
    <t>Organization dues or fees</t>
  </si>
  <si>
    <t>Health club</t>
  </si>
  <si>
    <t>Dry cleaning</t>
  </si>
  <si>
    <t>Clothing</t>
  </si>
  <si>
    <t>Hair/nails</t>
  </si>
  <si>
    <t>Medical</t>
  </si>
  <si>
    <t>Personal Care</t>
  </si>
  <si>
    <t>Toys</t>
  </si>
  <si>
    <t>Grooming</t>
  </si>
  <si>
    <t>Food</t>
  </si>
  <si>
    <t>Pets</t>
  </si>
  <si>
    <t>Toys/games</t>
  </si>
  <si>
    <t>Child care</t>
  </si>
  <si>
    <t>Lunch money</t>
  </si>
  <si>
    <t>School supplies</t>
  </si>
  <si>
    <t>School tuition</t>
  </si>
  <si>
    <t>Children</t>
  </si>
  <si>
    <t>Dining out</t>
  </si>
  <si>
    <t>Groceries</t>
  </si>
  <si>
    <t>Life</t>
  </si>
  <si>
    <t>Health</t>
  </si>
  <si>
    <t>Home</t>
  </si>
  <si>
    <t>Insurance</t>
  </si>
  <si>
    <t>Maintenance</t>
  </si>
  <si>
    <t>Fuel</t>
  </si>
  <si>
    <t>Licensing</t>
  </si>
  <si>
    <t>Bus/taxi fare</t>
  </si>
  <si>
    <t>Vehicle 2 payment</t>
  </si>
  <si>
    <t>Vehicle 1 payment</t>
  </si>
  <si>
    <t>Transportation</t>
  </si>
  <si>
    <t>Supplies</t>
  </si>
  <si>
    <t>Maintenance or repairs</t>
  </si>
  <si>
    <t>Waste removal</t>
  </si>
  <si>
    <t>Cable</t>
  </si>
  <si>
    <t>Water and sewer</t>
  </si>
  <si>
    <t>Gas</t>
  </si>
  <si>
    <t>Electricity</t>
  </si>
  <si>
    <t>Phone</t>
  </si>
  <si>
    <t>Second mortgage or rent</t>
  </si>
  <si>
    <t>Mortgage or rent</t>
  </si>
  <si>
    <t>Housing Expense</t>
  </si>
  <si>
    <t>TOTAL INCOME</t>
  </si>
  <si>
    <t>Extra income</t>
  </si>
  <si>
    <t>Income 2</t>
  </si>
  <si>
    <t>Income 1</t>
  </si>
  <si>
    <t>Monthly Income</t>
  </si>
  <si>
    <t xml:space="preserve"> </t>
  </si>
  <si>
    <t>TOTAL CASH FLOW</t>
  </si>
  <si>
    <t>Total Expense</t>
  </si>
  <si>
    <t>Total Income</t>
  </si>
  <si>
    <t>Cash Flow</t>
  </si>
  <si>
    <t xml:space="preserve">  </t>
  </si>
  <si>
    <t>TOTAL PROFIT</t>
  </si>
  <si>
    <t>TOTAL EXPENSES</t>
  </si>
  <si>
    <t>Estimated</t>
  </si>
  <si>
    <t>Profit - Loss Summary</t>
  </si>
  <si>
    <t>Event Budget for [Event Name]</t>
  </si>
  <si>
    <t>Total</t>
  </si>
  <si>
    <t>Fax services</t>
  </si>
  <si>
    <t>Stationery supplies</t>
  </si>
  <si>
    <t>Telephone</t>
  </si>
  <si>
    <t>Miscellaneous</t>
  </si>
  <si>
    <t>Postage</t>
  </si>
  <si>
    <t>Gifts</t>
  </si>
  <si>
    <t>Photocopying/Printing</t>
  </si>
  <si>
    <t>Ribbons/Plaques/Trophies</t>
  </si>
  <si>
    <t>Graphics work</t>
  </si>
  <si>
    <t>Prizes</t>
  </si>
  <si>
    <t>Publicity</t>
  </si>
  <si>
    <t>Paper supplies</t>
  </si>
  <si>
    <t>Hotel</t>
  </si>
  <si>
    <t>Balloons</t>
  </si>
  <si>
    <t>Travel</t>
  </si>
  <si>
    <t>Lighting</t>
  </si>
  <si>
    <t>Speakers</t>
  </si>
  <si>
    <t>Candles</t>
  </si>
  <si>
    <t>Performers</t>
  </si>
  <si>
    <t>Flowers</t>
  </si>
  <si>
    <t>Program</t>
  </si>
  <si>
    <t>Decorations</t>
  </si>
  <si>
    <t>Staff and gratuities</t>
  </si>
  <si>
    <t>Tables and chairs</t>
  </si>
  <si>
    <t>Linens</t>
  </si>
  <si>
    <t>Equipment</t>
  </si>
  <si>
    <t>Drinks</t>
  </si>
  <si>
    <t>Site staff</t>
  </si>
  <si>
    <t>Room and hall fees</t>
  </si>
  <si>
    <t>Refreshments</t>
  </si>
  <si>
    <t>Site</t>
  </si>
  <si>
    <t>Expenses</t>
  </si>
  <si>
    <t>Items @</t>
  </si>
  <si>
    <t xml:space="preserve">Actual </t>
  </si>
  <si>
    <t xml:space="preserve">Estimated </t>
  </si>
  <si>
    <t>Sale of items</t>
  </si>
  <si>
    <t>Small booths @</t>
  </si>
  <si>
    <t>Med. booths @</t>
  </si>
  <si>
    <t>Large booths @</t>
  </si>
  <si>
    <t>Exhibitors/vendors</t>
  </si>
  <si>
    <t>Quarter-pages @</t>
  </si>
  <si>
    <t>Half-pages @</t>
  </si>
  <si>
    <t>Covers @</t>
  </si>
  <si>
    <t>Ads in program</t>
  </si>
  <si>
    <t>Other @</t>
  </si>
  <si>
    <t>Children @</t>
  </si>
  <si>
    <t>Adults @</t>
  </si>
  <si>
    <t>Admissions</t>
  </si>
  <si>
    <t>Income</t>
  </si>
  <si>
    <t>Custom 2</t>
  </si>
  <si>
    <t>Custom 1</t>
  </si>
  <si>
    <t>Sick</t>
  </si>
  <si>
    <t>S</t>
  </si>
  <si>
    <t>P</t>
  </si>
  <si>
    <t>Vacation</t>
  </si>
  <si>
    <t>V</t>
  </si>
  <si>
    <t>Color Key</t>
  </si>
  <si>
    <t>Employee 5</t>
  </si>
  <si>
    <t>Employee 4</t>
  </si>
  <si>
    <t>Employee 3</t>
  </si>
  <si>
    <t>Employee 2</t>
  </si>
  <si>
    <t>Employee 1</t>
  </si>
  <si>
    <t>Total Days</t>
  </si>
  <si>
    <t>31</t>
  </si>
  <si>
    <t>30</t>
  </si>
  <si>
    <t>29</t>
  </si>
  <si>
    <t>28</t>
  </si>
  <si>
    <t>27</t>
  </si>
  <si>
    <t>26</t>
  </si>
  <si>
    <t>25</t>
  </si>
  <si>
    <t>24</t>
  </si>
  <si>
    <t>23</t>
  </si>
  <si>
    <t>22</t>
  </si>
  <si>
    <t>21</t>
  </si>
  <si>
    <t>20</t>
  </si>
  <si>
    <t>19</t>
  </si>
  <si>
    <t>18</t>
  </si>
  <si>
    <t>17</t>
  </si>
  <si>
    <t>16</t>
  </si>
  <si>
    <t>15</t>
  </si>
  <si>
    <t>14</t>
  </si>
  <si>
    <t>13</t>
  </si>
  <si>
    <t>12</t>
  </si>
  <si>
    <t>11</t>
  </si>
  <si>
    <t>10</t>
  </si>
  <si>
    <t>9</t>
  </si>
  <si>
    <t>8</t>
  </si>
  <si>
    <t>7</t>
  </si>
  <si>
    <t>6</t>
  </si>
  <si>
    <t>5</t>
  </si>
  <si>
    <t>4</t>
  </si>
  <si>
    <t>3</t>
  </si>
  <si>
    <t>2</t>
  </si>
  <si>
    <t>1</t>
  </si>
  <si>
    <t>Employee Name</t>
  </si>
  <si>
    <t>Dates of Absence</t>
  </si>
  <si>
    <t>January</t>
  </si>
  <si>
    <t>Employee Absence Schedule</t>
  </si>
  <si>
    <t>February</t>
  </si>
  <si>
    <t>Activity 26</t>
  </si>
  <si>
    <t>Activity 25</t>
  </si>
  <si>
    <t>Activity 24</t>
  </si>
  <si>
    <t>Activity 23</t>
  </si>
  <si>
    <t>Activity 22</t>
  </si>
  <si>
    <t>Activity 21</t>
  </si>
  <si>
    <t>Activity 20</t>
  </si>
  <si>
    <t>Activity 19</t>
  </si>
  <si>
    <t>Activity 18</t>
  </si>
  <si>
    <t>Activity 17</t>
  </si>
  <si>
    <t>Activity 16</t>
  </si>
  <si>
    <t>Activity 15</t>
  </si>
  <si>
    <t>Activity 14</t>
  </si>
  <si>
    <t>Activity 13</t>
  </si>
  <si>
    <t>Activity 12</t>
  </si>
  <si>
    <t>Activity 11</t>
  </si>
  <si>
    <t>Activity 10</t>
  </si>
  <si>
    <t>Activity 09</t>
  </si>
  <si>
    <t>Activity 08</t>
  </si>
  <si>
    <t>Activity 07</t>
  </si>
  <si>
    <t>Activity 06</t>
  </si>
  <si>
    <t>Activity 05</t>
  </si>
  <si>
    <t>Activity 04</t>
  </si>
  <si>
    <t>Activity 03</t>
  </si>
  <si>
    <t>Activity 02</t>
  </si>
  <si>
    <t>Activity 01</t>
  </si>
  <si>
    <t>PERIODS</t>
  </si>
  <si>
    <t>COMPLETE</t>
  </si>
  <si>
    <t>DURATION</t>
  </si>
  <si>
    <t>START</t>
  </si>
  <si>
    <t>ACTIVITY</t>
  </si>
  <si>
    <t>PERCENT</t>
  </si>
  <si>
    <t>ACTUAL</t>
  </si>
  <si>
    <t>PLAN</t>
  </si>
  <si>
    <r>
      <rPr>
        <sz val="12"/>
        <color theme="1" tint="0.24994659260841701"/>
        <rFont val="Calibri"/>
        <family val="2"/>
      </rPr>
      <t>%</t>
    </r>
    <r>
      <rPr>
        <sz val="11"/>
        <color theme="1"/>
        <rFont val="Calibri"/>
        <family val="2"/>
        <charset val="162"/>
        <scheme val="minor"/>
      </rPr>
      <t xml:space="preserve"> </t>
    </r>
    <r>
      <rPr>
        <sz val="12"/>
        <color theme="1" tint="0.24994659260841701"/>
        <rFont val="Calibri"/>
        <family val="2"/>
      </rPr>
      <t>Complete (beyond plan)</t>
    </r>
  </si>
  <si>
    <r>
      <rPr>
        <sz val="12"/>
        <color theme="1" tint="0.24994659260841701"/>
        <rFont val="Calibri"/>
        <family val="2"/>
      </rPr>
      <t>Actual (beyond plan</t>
    </r>
    <r>
      <rPr>
        <sz val="11"/>
        <color theme="1"/>
        <rFont val="Calibri"/>
        <family val="2"/>
        <charset val="162"/>
        <scheme val="minor"/>
      </rPr>
      <t>)</t>
    </r>
  </si>
  <si>
    <r>
      <rPr>
        <sz val="12"/>
        <color theme="1" tint="0.24994659260841701"/>
        <rFont val="Calibri"/>
        <family val="2"/>
      </rPr>
      <t>%</t>
    </r>
    <r>
      <rPr>
        <sz val="11"/>
        <color theme="1"/>
        <rFont val="Calibri"/>
        <family val="2"/>
        <charset val="162"/>
        <scheme val="minor"/>
      </rPr>
      <t xml:space="preserve"> </t>
    </r>
    <r>
      <rPr>
        <sz val="12"/>
        <color theme="1" tint="0.24994659260841701"/>
        <rFont val="Calibri"/>
        <family val="2"/>
      </rPr>
      <t>Complete</t>
    </r>
  </si>
  <si>
    <t>Plan</t>
  </si>
  <si>
    <t xml:space="preserve"> Period Highlight:</t>
  </si>
  <si>
    <t>Project Planner</t>
  </si>
  <si>
    <t>Actual</t>
    <phoneticPr fontId="0" type="noConversion"/>
  </si>
  <si>
    <t>Estimated</t>
    <phoneticPr fontId="0" type="noConversion"/>
  </si>
  <si>
    <t>Total Expenses</t>
    <phoneticPr fontId="0" type="noConversion"/>
  </si>
  <si>
    <t>Total</t>
    <phoneticPr fontId="0" type="noConversion"/>
  </si>
  <si>
    <t>Actual</t>
    <phoneticPr fontId="0" type="noConversion"/>
  </si>
  <si>
    <t>Estimated</t>
    <phoneticPr fontId="0" type="noConversion"/>
  </si>
  <si>
    <t>Actual</t>
    <phoneticPr fontId="0" type="noConversion"/>
  </si>
  <si>
    <t>Estimated</t>
    <phoneticPr fontId="0" type="noConversion"/>
  </si>
  <si>
    <t>Actual</t>
    <phoneticPr fontId="0" type="noConversion"/>
  </si>
  <si>
    <t>Estimated</t>
    <phoneticPr fontId="0" type="noConversion"/>
  </si>
  <si>
    <t>Estimated vs. Actual</t>
    <phoneticPr fontId="0" type="noConversion"/>
  </si>
  <si>
    <t>Actual</t>
    <phoneticPr fontId="0" type="noConversion"/>
  </si>
  <si>
    <t>Estimated</t>
    <phoneticPr fontId="0" type="noConversion"/>
  </si>
  <si>
    <t>Actual Cost Breakdown</t>
    <phoneticPr fontId="0" type="noConversion"/>
  </si>
  <si>
    <r>
      <t xml:space="preserve">Event Budget for </t>
    </r>
    <r>
      <rPr>
        <b/>
        <i/>
        <sz val="18"/>
        <color indexed="9"/>
        <rFont val="Verdana"/>
        <family val="2"/>
      </rPr>
      <t>Event Name</t>
    </r>
    <r>
      <rPr>
        <b/>
        <sz val="18"/>
        <color indexed="9"/>
        <rFont val="Verdana"/>
        <family val="2"/>
      </rPr>
      <t>: EXPENSES</t>
    </r>
  </si>
  <si>
    <t>[Date]</t>
  </si>
  <si>
    <t>Event Name</t>
  </si>
  <si>
    <t>Total Income</t>
    <phoneticPr fontId="0" type="noConversion"/>
  </si>
  <si>
    <t>Income Comparison</t>
    <phoneticPr fontId="0" type="noConversion"/>
  </si>
  <si>
    <r>
      <t>Event Budget for</t>
    </r>
    <r>
      <rPr>
        <b/>
        <i/>
        <sz val="18"/>
        <color indexed="9"/>
        <rFont val="Verdana"/>
        <family val="2"/>
      </rPr>
      <t xml:space="preserve"> Event Name</t>
    </r>
    <r>
      <rPr>
        <b/>
        <sz val="18"/>
        <color indexed="9"/>
        <rFont val="Verdana"/>
        <family val="2"/>
      </rPr>
      <t>: INCOME</t>
    </r>
  </si>
  <si>
    <t>Total profit (or loss)</t>
  </si>
  <si>
    <t>Total expenses</t>
  </si>
  <si>
    <t>Total income</t>
  </si>
  <si>
    <t>Profit vs. Loss</t>
    <phoneticPr fontId="0" type="noConversion"/>
  </si>
  <si>
    <r>
      <t>Event Budget for</t>
    </r>
    <r>
      <rPr>
        <b/>
        <i/>
        <sz val="18"/>
        <color indexed="9"/>
        <rFont val="Verdana"/>
        <family val="2"/>
      </rPr>
      <t xml:space="preserve"> Event Name</t>
    </r>
    <r>
      <rPr>
        <b/>
        <sz val="18"/>
        <color indexed="9"/>
        <rFont val="Verdana"/>
        <family val="2"/>
      </rPr>
      <t>: PROFIT/LOSS SUMMARY</t>
    </r>
  </si>
  <si>
    <t>Savings</t>
  </si>
  <si>
    <t>Tuition</t>
  </si>
  <si>
    <t>Water</t>
  </si>
  <si>
    <t>Internet</t>
  </si>
  <si>
    <t>Cable TV</t>
  </si>
  <si>
    <t>Cell phone</t>
  </si>
  <si>
    <t>Home phone</t>
  </si>
  <si>
    <t>Car payment</t>
  </si>
  <si>
    <t>Grocery</t>
  </si>
  <si>
    <t>Housing</t>
  </si>
  <si>
    <t>TREND</t>
  </si>
  <si>
    <t>YTD TOTAL</t>
  </si>
  <si>
    <t>DEC</t>
  </si>
  <si>
    <t>NOV</t>
  </si>
  <si>
    <t>OCT</t>
  </si>
  <si>
    <t>SEP</t>
  </si>
  <si>
    <t>AUG</t>
  </si>
  <si>
    <t>JUL</t>
  </si>
  <si>
    <t>JUN</t>
  </si>
  <si>
    <t>MAY</t>
  </si>
  <si>
    <t>APR</t>
  </si>
  <si>
    <t>MAR</t>
  </si>
  <si>
    <t>FEB</t>
  </si>
  <si>
    <t>JAN</t>
  </si>
  <si>
    <t>EXPENSES</t>
  </si>
  <si>
    <t>Other Income</t>
  </si>
  <si>
    <t>INCOME TYPE</t>
  </si>
  <si>
    <t>Monthly Cash</t>
  </si>
  <si>
    <t>CASH AVAILABLE</t>
  </si>
  <si>
    <t>YEAR:</t>
  </si>
  <si>
    <t>SMITH FAMILY BUDGET</t>
  </si>
  <si>
    <t>Research</t>
  </si>
  <si>
    <t>Vehicles</t>
  </si>
  <si>
    <t>Benefits and pensions</t>
  </si>
  <si>
    <t>Warehouse lease</t>
  </si>
  <si>
    <t>Office lease</t>
  </si>
  <si>
    <t>Salaries</t>
  </si>
  <si>
    <t>Manufacturing equipment</t>
  </si>
  <si>
    <t>Parts and materials</t>
  </si>
  <si>
    <t>Cumulative Percent</t>
  </si>
  <si>
    <t>Percent of Total</t>
  </si>
  <si>
    <t xml:space="preserve">Annual Cost </t>
  </si>
  <si>
    <t>Cost Center</t>
  </si>
  <si>
    <t>COST ANALYSIS</t>
  </si>
  <si>
    <t>COST ANALYSIS - PARETO</t>
  </si>
  <si>
    <t>For Office Use Only</t>
  </si>
  <si>
    <t xml:space="preserve"> Notes</t>
  </si>
  <si>
    <t>Approved by</t>
  </si>
  <si>
    <t>TOTAL</t>
  </si>
  <si>
    <t>Advances</t>
  </si>
  <si>
    <t>Subtotal</t>
  </si>
  <si>
    <t>Misc.</t>
  </si>
  <si>
    <t>Entertain.</t>
  </si>
  <si>
    <t>Meals</t>
  </si>
  <si>
    <t>Transport</t>
  </si>
  <si>
    <t>Description</t>
  </si>
  <si>
    <t>Account</t>
  </si>
  <si>
    <t>Date</t>
  </si>
  <si>
    <t>Position</t>
  </si>
  <si>
    <t>To</t>
  </si>
  <si>
    <t>Manager</t>
  </si>
  <si>
    <t>Employee ID</t>
  </si>
  <si>
    <t>From</t>
  </si>
  <si>
    <t>Department</t>
  </si>
  <si>
    <t>Name</t>
  </si>
  <si>
    <t>Pay period</t>
  </si>
  <si>
    <t>Employee information</t>
  </si>
  <si>
    <t>Expense Statement</t>
  </si>
  <si>
    <t>Statement number:</t>
  </si>
  <si>
    <t>TOTAL MARKETING BUDGET:</t>
  </si>
  <si>
    <t>Other Expenses Total $(000)</t>
  </si>
  <si>
    <t>Channel Support</t>
  </si>
  <si>
    <t>Infrastructure (computer, telephone, etc.)</t>
  </si>
  <si>
    <t>OTHER EXPENSES</t>
  </si>
  <si>
    <t>CAR Total $(000)</t>
  </si>
  <si>
    <t>Promotions/Coupons</t>
  </si>
  <si>
    <t>Communications</t>
  </si>
  <si>
    <t>Human Resources</t>
  </si>
  <si>
    <t>CUSTOMER ACQUISITION &amp; RETENTION (CAR)</t>
  </si>
  <si>
    <t>Retailer Total $(000)</t>
  </si>
  <si>
    <t>Commission/Discounts (% of Retail Sales)</t>
  </si>
  <si>
    <t>Promotions</t>
  </si>
  <si>
    <t>Training</t>
  </si>
  <si>
    <t>Communication</t>
  </si>
  <si>
    <t>RETAILER (% OF TOTAL SALES)</t>
  </si>
  <si>
    <t>Distributor Total $(000)</t>
  </si>
  <si>
    <t>Commission/Discounts (% of Distributors' Sales)</t>
  </si>
  <si>
    <t>DISTRIBUTORS (% OF TOTAL SALES)</t>
  </si>
  <si>
    <t>Agent/Broker Total $(000)</t>
  </si>
  <si>
    <t>Commission (% of Agent's Sales)</t>
  </si>
  <si>
    <t>Discounts</t>
  </si>
  <si>
    <t>AGENT/BROKER (% OF TOTAL SALES)</t>
  </si>
  <si>
    <t>Direct Marketing Total $(000)</t>
  </si>
  <si>
    <t>Direct Mail Total $(000)</t>
  </si>
  <si>
    <t>Material</t>
  </si>
  <si>
    <t>Human Resources - Cost</t>
  </si>
  <si>
    <r>
      <t xml:space="preserve">Direct Mail </t>
    </r>
    <r>
      <rPr>
        <sz val="11"/>
        <color theme="1" tint="0.14999847407452621"/>
        <rFont val="Calibri"/>
        <family val="2"/>
        <scheme val="minor"/>
      </rPr>
      <t>(% of Direct Sales)</t>
    </r>
  </si>
  <si>
    <t>Internet Marketing Total $(000)</t>
  </si>
  <si>
    <t>Support &amp; Maintenance</t>
  </si>
  <si>
    <t>Hosting</t>
  </si>
  <si>
    <t>Website Development (one-time cost)</t>
  </si>
  <si>
    <t>Human Resources - Headcount</t>
  </si>
  <si>
    <t>Internet Marketing (% of Direct Sales)</t>
  </si>
  <si>
    <t>Telemarketing Total $(000)</t>
  </si>
  <si>
    <t>Commission</t>
  </si>
  <si>
    <t>Infrastructure Support</t>
  </si>
  <si>
    <t>Telemarketing (% of Direct Sales)</t>
  </si>
  <si>
    <t>DIRECT MARKETING (% OF TOTAL SALES)</t>
  </si>
  <si>
    <t>Personnel Total $(000)</t>
  </si>
  <si>
    <t>PERSONNEL (% OF TOTAL SALES)</t>
  </si>
  <si>
    <t>ANTICIPATED SALES TOTAL $(000)</t>
  </si>
  <si>
    <t>Month 12</t>
  </si>
  <si>
    <t>Month 11</t>
  </si>
  <si>
    <t>Month 10</t>
  </si>
  <si>
    <t>Month 9</t>
  </si>
  <si>
    <t>Month 8</t>
  </si>
  <si>
    <t>Month 7</t>
  </si>
  <si>
    <t>Month 6</t>
  </si>
  <si>
    <t>Month 5</t>
  </si>
  <si>
    <t>Month 4</t>
  </si>
  <si>
    <t>Month 3</t>
  </si>
  <si>
    <t>Month 2</t>
  </si>
  <si>
    <t>Month 1</t>
  </si>
  <si>
    <t>Rate</t>
  </si>
  <si>
    <t>CHANNEL MARKETING BUDGET</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</si>
</sst>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quot;$&quot;#,##0.00"/>
    <numFmt numFmtId="165" formatCode="0;0;"/>
    <numFmt numFmtId="166" formatCode="&quot;$&quot;#,##0.00_);[Red]\(&quot;$&quot;#,##0.00\)"/>
    <numFmt numFmtId="167" formatCode="&quot;$&quot;#,##0.00_);\(&quot;$&quot;#,##0.00\)"/>
    <numFmt numFmtId="168" formatCode="mmmm\ d\,\ yyyy"/>
    <numFmt numFmtId="169" formatCode="_(&quot;$&quot;* #,##0.00_);_(&quot;$&quot;* \(#,##0.00\);_(&quot;$&quot;* &quot;-&quot;??_);_(@_)"/>
    <numFmt numFmtId="170" formatCode="_(* #,##0.00_);_(* \(#,##0.00\);_(* &quot;-&quot;??_);_(@_)"/>
    <numFmt numFmtId="171" formatCode="m/d/yyyy;;"/>
  </numFmts>
  <fonts count="100" x14ac:knownFonts="1">
    <font>
      <sz val="11"/>
      <color theme="1"/>
      <name val="Calibri"/>
      <family val="2"/>
      <charset val="162"/>
      <scheme val="minor"/>
    </font>
    <font>
      <sz val="10"/>
      <color theme="1" tint="0.499984740745262"/>
      <name val="Calibri"/>
      <family val="2"/>
      <scheme val="minor"/>
    </font>
    <font>
      <sz val="11"/>
      <color theme="1" tint="0.499984740745262"/>
      <name val="Calibri Light"/>
      <family val="1"/>
      <scheme val="major"/>
    </font>
    <font>
      <b/>
      <sz val="10"/>
      <color theme="0"/>
      <name val="Calibri"/>
      <family val="2"/>
      <scheme val="minor"/>
    </font>
    <font>
      <b/>
      <sz val="20"/>
      <color theme="1"/>
      <name val="Calibri"/>
      <family val="2"/>
      <scheme val="minor"/>
    </font>
    <font>
      <sz val="10"/>
      <color theme="1" tint="0.14996795556505021"/>
      <name val="Calibri"/>
      <family val="2"/>
      <scheme val="minor"/>
    </font>
    <font>
      <sz val="11"/>
      <color theme="1" tint="0.14996795556505021"/>
      <name val="Calibri"/>
      <family val="2"/>
      <scheme val="minor"/>
    </font>
    <font>
      <sz val="11"/>
      <color theme="1" tint="0.14996795556505021"/>
      <name val="Calibri Light"/>
      <family val="1"/>
      <scheme val="major"/>
    </font>
    <font>
      <sz val="14"/>
      <color theme="3" tint="9.9948118533890809E-2"/>
      <name val="Calibri Light"/>
      <family val="1"/>
      <scheme val="major"/>
    </font>
    <font>
      <sz val="22"/>
      <color theme="3" tint="9.9948118533890809E-2"/>
      <name val="Calibri Light"/>
      <family val="1"/>
      <scheme val="major"/>
    </font>
    <font>
      <sz val="9"/>
      <color theme="1" tint="0.14996795556505021"/>
      <name val="Calibri Light"/>
      <family val="1"/>
      <scheme val="major"/>
    </font>
    <font>
      <sz val="12"/>
      <color theme="1" tint="0.24994659260841701"/>
      <name val="Calibri Light"/>
      <family val="1"/>
      <scheme val="major"/>
    </font>
    <font>
      <b/>
      <sz val="11"/>
      <color theme="1" tint="0.24994659260841701"/>
      <name val="Calibri Light"/>
      <family val="1"/>
      <scheme val="major"/>
    </font>
    <font>
      <sz val="11"/>
      <color theme="1"/>
      <name val="Calibri"/>
      <family val="2"/>
      <scheme val="minor"/>
    </font>
    <font>
      <sz val="10"/>
      <name val="Century Gothic"/>
      <family val="2"/>
    </font>
    <font>
      <b/>
      <sz val="11"/>
      <color theme="0"/>
      <name val="Calibri"/>
      <family val="2"/>
      <scheme val="minor"/>
    </font>
    <font>
      <b/>
      <sz val="11"/>
      <color theme="1"/>
      <name val="Calibri"/>
      <family val="2"/>
      <scheme val="minor"/>
    </font>
    <font>
      <sz val="9"/>
      <name val="Century Gothic"/>
      <family val="2"/>
    </font>
    <font>
      <sz val="18"/>
      <color theme="3"/>
      <name val="Calibri"/>
      <family val="2"/>
      <scheme val="minor"/>
    </font>
    <font>
      <b/>
      <sz val="18"/>
      <color theme="4" tint="-0.249977111117893"/>
      <name val="Calibri"/>
      <family val="2"/>
      <scheme val="minor"/>
    </font>
    <font>
      <sz val="9"/>
      <name val="Calibri"/>
      <family val="2"/>
      <scheme val="minor"/>
    </font>
    <font>
      <b/>
      <sz val="18"/>
      <color theme="4" tint="-0.249977111117893"/>
      <name val="Calibri Light"/>
      <family val="2"/>
      <scheme val="major"/>
    </font>
    <font>
      <b/>
      <sz val="10"/>
      <name val="Century Gothic"/>
      <family val="2"/>
    </font>
    <font>
      <b/>
      <sz val="16"/>
      <color theme="4" tint="-0.249977111117893"/>
      <name val="Calibri Light"/>
      <family val="2"/>
      <scheme val="major"/>
    </font>
    <font>
      <sz val="10"/>
      <name val="Calibri Light"/>
      <family val="2"/>
      <scheme val="major"/>
    </font>
    <font>
      <sz val="11"/>
      <color theme="1"/>
      <name val="Calibri Light"/>
      <family val="2"/>
      <scheme val="major"/>
    </font>
    <font>
      <b/>
      <sz val="12"/>
      <name val="Calibri Light"/>
      <family val="2"/>
      <scheme val="major"/>
    </font>
    <font>
      <b/>
      <sz val="26"/>
      <color theme="3"/>
      <name val="Calibri Light"/>
      <family val="2"/>
      <scheme val="major"/>
    </font>
    <font>
      <b/>
      <sz val="12"/>
      <name val="Arial"/>
      <family val="2"/>
    </font>
    <font>
      <sz val="11"/>
      <color theme="1" tint="0.24994659260841701"/>
      <name val="Calibri Light"/>
      <family val="2"/>
      <scheme val="major"/>
    </font>
    <font>
      <b/>
      <sz val="13"/>
      <color theme="7"/>
      <name val="Calibri Light"/>
      <family val="2"/>
      <scheme val="major"/>
    </font>
    <font>
      <b/>
      <sz val="13"/>
      <color theme="1" tint="0.24994659260841701"/>
      <name val="Calibri Light"/>
      <family val="2"/>
      <scheme val="major"/>
    </font>
    <font>
      <b/>
      <sz val="13"/>
      <color theme="7"/>
      <name val="Calibri"/>
    </font>
    <font>
      <sz val="12"/>
      <color theme="1" tint="0.24994659260841701"/>
      <name val="Calibri"/>
    </font>
    <font>
      <b/>
      <sz val="13"/>
      <color theme="1" tint="0.24994659260841701"/>
      <name val="Calibri"/>
    </font>
    <font>
      <b/>
      <sz val="9.5"/>
      <color theme="1" tint="0.499984740745262"/>
      <name val="Calibri"/>
      <family val="2"/>
      <scheme val="minor"/>
    </font>
    <font>
      <b/>
      <sz val="42"/>
      <color theme="7"/>
      <name val="Calibri Light"/>
      <family val="2"/>
      <scheme val="major"/>
    </font>
    <font>
      <sz val="14"/>
      <color theme="1" tint="0.24994659260841701"/>
      <name val="Calibri"/>
      <family val="2"/>
      <scheme val="minor"/>
    </font>
    <font>
      <sz val="12"/>
      <color theme="1" tint="0.24994659260841701"/>
      <name val="Calibri"/>
      <family val="2"/>
    </font>
    <font>
      <b/>
      <sz val="11"/>
      <color theme="1" tint="0.24994659260841701"/>
      <name val="Calibri"/>
      <family val="2"/>
      <scheme val="minor"/>
    </font>
    <font>
      <sz val="14"/>
      <color theme="7"/>
      <name val="Calibri"/>
      <family val="2"/>
      <scheme val="minor"/>
    </font>
    <font>
      <sz val="10"/>
      <name val="Arial"/>
    </font>
    <font>
      <sz val="10"/>
      <name val="Tahoma"/>
      <family val="2"/>
    </font>
    <font>
      <b/>
      <sz val="11"/>
      <color indexed="63"/>
      <name val="Verdana"/>
      <family val="2"/>
    </font>
    <font>
      <sz val="9"/>
      <name val="Verdana"/>
      <family val="2"/>
    </font>
    <font>
      <sz val="9"/>
      <color indexed="9"/>
      <name val="Verdana"/>
      <family val="2"/>
    </font>
    <font>
      <b/>
      <sz val="11"/>
      <color indexed="9"/>
      <name val="Verdana"/>
      <family val="2"/>
    </font>
    <font>
      <sz val="10"/>
      <name val="Verdana"/>
      <family val="2"/>
    </font>
    <font>
      <b/>
      <sz val="9"/>
      <color indexed="63"/>
      <name val="Verdana"/>
      <family val="2"/>
    </font>
    <font>
      <sz val="11"/>
      <color indexed="9"/>
      <name val="Verdana"/>
      <family val="2"/>
    </font>
    <font>
      <b/>
      <sz val="12"/>
      <name val="Tahoma"/>
      <family val="2"/>
    </font>
    <font>
      <sz val="16"/>
      <color indexed="62"/>
      <name val="Verdana"/>
      <family val="2"/>
    </font>
    <font>
      <sz val="10"/>
      <color indexed="9"/>
      <name val="Tahoma"/>
      <family val="2"/>
    </font>
    <font>
      <b/>
      <sz val="18"/>
      <color indexed="9"/>
      <name val="Verdana"/>
      <family val="2"/>
    </font>
    <font>
      <b/>
      <i/>
      <sz val="18"/>
      <color indexed="9"/>
      <name val="Verdana"/>
      <family val="2"/>
    </font>
    <font>
      <sz val="10"/>
      <color indexed="9"/>
      <name val="Arial"/>
      <family val="2"/>
    </font>
    <font>
      <sz val="32"/>
      <name val="Arial"/>
      <family val="2"/>
    </font>
    <font>
      <b/>
      <sz val="32"/>
      <color indexed="9"/>
      <name val="Verdana"/>
      <family val="2"/>
    </font>
    <font>
      <sz val="9"/>
      <color indexed="63"/>
      <name val="Verdana"/>
      <family val="2"/>
    </font>
    <font>
      <sz val="18"/>
      <color indexed="9"/>
      <name val="Verdana"/>
      <family val="2"/>
    </font>
    <font>
      <b/>
      <sz val="12"/>
      <color indexed="63"/>
      <name val="Verdana"/>
      <family val="2"/>
    </font>
    <font>
      <sz val="12"/>
      <name val="Verdana"/>
      <family val="2"/>
    </font>
    <font>
      <sz val="10"/>
      <color indexed="9"/>
      <name val="Verdana"/>
      <family val="2"/>
    </font>
    <font>
      <b/>
      <sz val="12"/>
      <color indexed="9"/>
      <name val="Verdana"/>
      <family val="2"/>
    </font>
    <font>
      <sz val="10"/>
      <color theme="0" tint="-0.34998626667073579"/>
      <name val="Calibri"/>
      <family val="2"/>
      <scheme val="minor"/>
    </font>
    <font>
      <b/>
      <sz val="10.5"/>
      <color theme="0" tint="-0.34998626667073579"/>
      <name val="Calibri Light"/>
      <family val="1"/>
      <scheme val="major"/>
    </font>
    <font>
      <sz val="10"/>
      <color theme="1"/>
      <name val="Calibri Light"/>
      <family val="1"/>
      <scheme val="major"/>
    </font>
    <font>
      <sz val="11"/>
      <color theme="1"/>
      <name val="Calibri Light"/>
      <family val="1"/>
      <scheme val="major"/>
    </font>
    <font>
      <b/>
      <sz val="14"/>
      <color theme="0" tint="-0.34998626667073579"/>
      <name val="Calibri Light"/>
      <family val="1"/>
      <scheme val="major"/>
    </font>
    <font>
      <b/>
      <sz val="22"/>
      <color theme="0" tint="-0.34998626667073579"/>
      <name val="Calibri Light"/>
      <family val="2"/>
      <scheme val="major"/>
    </font>
    <font>
      <b/>
      <sz val="15"/>
      <color theme="3"/>
      <name val="Calibri Light"/>
      <family val="2"/>
      <scheme val="major"/>
    </font>
    <font>
      <sz val="10"/>
      <name val="Calibri"/>
      <family val="2"/>
      <scheme val="minor"/>
    </font>
    <font>
      <sz val="8"/>
      <name val="Calibri"/>
      <family val="2"/>
      <scheme val="minor"/>
    </font>
    <font>
      <i/>
      <sz val="10"/>
      <name val="Calibri"/>
      <family val="2"/>
      <scheme val="minor"/>
    </font>
    <font>
      <b/>
      <sz val="10"/>
      <name val="Calibri Light"/>
      <family val="2"/>
      <scheme val="major"/>
    </font>
    <font>
      <b/>
      <sz val="10"/>
      <name val="Calibri"/>
      <family val="2"/>
      <scheme val="minor"/>
    </font>
    <font>
      <b/>
      <sz val="9"/>
      <name val="Calibri Light"/>
      <family val="2"/>
      <scheme val="major"/>
    </font>
    <font>
      <sz val="10"/>
      <color theme="1" tint="0.34998626667073579"/>
      <name val="Calibri Light"/>
      <family val="2"/>
      <scheme val="major"/>
    </font>
    <font>
      <b/>
      <sz val="20"/>
      <color theme="1" tint="0.34998626667073579"/>
      <name val="Calibri Light"/>
      <family val="2"/>
      <scheme val="major"/>
    </font>
    <font>
      <sz val="10"/>
      <name val="Arial"/>
      <family val="2"/>
    </font>
    <font>
      <sz val="11"/>
      <color theme="1" tint="0.14999847407452621"/>
      <name val="Calibri"/>
      <family val="2"/>
      <scheme val="minor"/>
    </font>
    <font>
      <sz val="11.5"/>
      <color theme="1" tint="0.14999847407452621"/>
      <name val="Calibri"/>
      <family val="2"/>
      <scheme val="minor"/>
    </font>
    <font>
      <sz val="11.5"/>
      <color theme="4" tint="-0.249977111117893"/>
      <name val="Calibri Light"/>
      <family val="2"/>
      <scheme val="major"/>
    </font>
    <font>
      <sz val="11.5"/>
      <color theme="1" tint="0.14999847407452621"/>
      <name val="Calibri Light"/>
      <family val="2"/>
      <scheme val="major"/>
    </font>
    <font>
      <sz val="11.5"/>
      <color theme="0"/>
      <name val="Calibri Light"/>
      <family val="2"/>
      <scheme val="major"/>
    </font>
    <font>
      <sz val="11"/>
      <color theme="0"/>
      <name val="Calibri Light"/>
      <family val="2"/>
      <scheme val="major"/>
    </font>
    <font>
      <sz val="10"/>
      <color theme="1" tint="0.14999847407452621"/>
      <name val="Calibri"/>
      <family val="2"/>
      <scheme val="minor"/>
    </font>
    <font>
      <i/>
      <sz val="10"/>
      <color theme="1" tint="0.14999847407452621"/>
      <name val="Calibri"/>
      <family val="2"/>
      <scheme val="minor"/>
    </font>
    <font>
      <b/>
      <sz val="18"/>
      <color theme="1" tint="0.14999847407452621"/>
      <name val="Calibri Light"/>
      <family val="2"/>
      <scheme val="major"/>
    </font>
    <font>
      <b/>
      <sz val="14"/>
      <color theme="1" tint="0.14999847407452621"/>
      <name val="Calibri Light"/>
      <family val="2"/>
      <scheme val="major"/>
    </font>
    <font>
      <b/>
      <i/>
      <sz val="18"/>
      <color theme="1" tint="0.14999847407452621"/>
      <name val="Calibri Light"/>
      <family val="2"/>
      <scheme val="major"/>
    </font>
    <font>
      <b/>
      <sz val="12"/>
      <color theme="1" tint="0.14999847407452621"/>
      <name val="Calibri Light"/>
      <family val="2"/>
      <scheme val="major"/>
    </font>
    <font>
      <b/>
      <i/>
      <sz val="12"/>
      <color theme="1" tint="0.14999847407452621"/>
      <name val="Calibri Light"/>
      <family val="2"/>
      <scheme val="major"/>
    </font>
    <font>
      <sz val="11"/>
      <color theme="3"/>
      <name val="Calibri Light"/>
      <family val="2"/>
      <scheme val="major"/>
    </font>
    <font>
      <sz val="11.5"/>
      <color theme="4"/>
      <name val="Calibri"/>
      <family val="2"/>
      <scheme val="minor"/>
    </font>
    <font>
      <sz val="11.5"/>
      <color theme="4"/>
      <name val="Calibri Light"/>
      <family val="2"/>
      <scheme val="major"/>
    </font>
    <font>
      <sz val="11"/>
      <color theme="4"/>
      <name val="Calibri Light"/>
      <family val="2"/>
      <scheme val="major"/>
    </font>
    <font>
      <sz val="11"/>
      <color theme="1" tint="0.14999847407452621"/>
      <name val="Calibri Light"/>
      <family val="2"/>
      <scheme val="major"/>
    </font>
    <font>
      <sz val="10"/>
      <color theme="1" tint="0.14999847407452621"/>
      <name val="Calibri Light"/>
      <family val="2"/>
      <scheme val="major"/>
    </font>
    <font>
      <b/>
      <sz val="26"/>
      <color theme="4"/>
      <name val="Calibri Light"/>
      <family val="2"/>
      <scheme val="major"/>
    </font>
  </fonts>
  <fills count="32">
    <fill>
      <patternFill patternType="none"/>
    </fill>
    <fill>
      <patternFill patternType="gray125"/>
    </fill>
    <fill>
      <patternFill patternType="solid">
        <fgColor theme="4" tint="0.79998168889431442"/>
        <bgColor indexed="65"/>
      </patternFill>
    </fill>
    <fill>
      <patternFill patternType="solid">
        <fgColor theme="5"/>
        <bgColor indexed="64"/>
      </patternFill>
    </fill>
    <fill>
      <patternFill patternType="solid">
        <fgColor theme="0" tint="-4.9989318521683403E-2"/>
        <bgColor indexed="64"/>
      </patternFill>
    </fill>
    <fill>
      <patternFill patternType="solid">
        <fgColor theme="8"/>
        <bgColor indexed="64"/>
      </patternFill>
    </fill>
    <fill>
      <patternFill patternType="solid">
        <fgColor theme="0" tint="-0.14996795556505021"/>
        <bgColor indexed="64"/>
      </patternFill>
    </fill>
    <fill>
      <patternFill patternType="solid">
        <fgColor theme="6" tint="0.79998168889431442"/>
        <bgColor indexed="64"/>
      </patternFill>
    </fill>
    <fill>
      <patternFill patternType="solid">
        <fgColor theme="7"/>
        <bgColor indexed="64"/>
      </patternFill>
    </fill>
    <fill>
      <patternFill patternType="solid">
        <fgColor theme="6"/>
        <bgColor indexed="64"/>
      </patternFill>
    </fill>
    <fill>
      <patternFill patternType="solid">
        <fgColor theme="4"/>
        <bgColor indexed="64"/>
      </patternFill>
    </fill>
    <fill>
      <patternFill patternType="solid">
        <fgColor theme="6" tint="0.59999389629810485"/>
        <bgColor indexed="64"/>
      </patternFill>
    </fill>
    <fill>
      <patternFill patternType="solid">
        <fgColor theme="2"/>
        <bgColor indexed="64"/>
      </patternFill>
    </fill>
    <fill>
      <patternFill patternType="solid">
        <fgColor theme="0"/>
        <bgColor indexed="64"/>
      </patternFill>
    </fill>
    <fill>
      <patternFill patternType="solid">
        <fgColor theme="9"/>
        <bgColor auto="1"/>
      </patternFill>
    </fill>
    <fill>
      <patternFill patternType="lightUp">
        <fgColor theme="7"/>
        <bgColor theme="9" tint="0.59996337778862885"/>
      </patternFill>
    </fill>
    <fill>
      <patternFill patternType="solid">
        <fgColor theme="7"/>
        <bgColor auto="1"/>
      </patternFill>
    </fill>
    <fill>
      <patternFill patternType="lightUp">
        <fgColor theme="7"/>
        <bgColor theme="7" tint="0.59996337778862885"/>
      </patternFill>
    </fill>
    <fill>
      <patternFill patternType="lightUp">
        <fgColor theme="7"/>
      </patternFill>
    </fill>
    <fill>
      <patternFill patternType="solid">
        <fgColor theme="9" tint="0.59996337778862885"/>
        <bgColor indexed="64"/>
      </patternFill>
    </fill>
    <fill>
      <patternFill patternType="solid">
        <fgColor indexed="62"/>
        <bgColor indexed="64"/>
      </patternFill>
    </fill>
    <fill>
      <patternFill patternType="solid">
        <fgColor indexed="45"/>
        <bgColor indexed="22"/>
      </patternFill>
    </fill>
    <fill>
      <patternFill patternType="solid">
        <fgColor indexed="62"/>
        <bgColor indexed="22"/>
      </patternFill>
    </fill>
    <fill>
      <patternFill patternType="solid">
        <fgColor indexed="45"/>
        <bgColor indexed="64"/>
      </patternFill>
    </fill>
    <fill>
      <patternFill patternType="solid">
        <fgColor indexed="65"/>
        <bgColor indexed="62"/>
      </patternFill>
    </fill>
    <fill>
      <patternFill patternType="solid">
        <fgColor indexed="23"/>
        <bgColor indexed="64"/>
      </patternFill>
    </fill>
    <fill>
      <patternFill patternType="solid">
        <fgColor indexed="9"/>
        <bgColor indexed="64"/>
      </patternFill>
    </fill>
    <fill>
      <patternFill patternType="solid">
        <fgColor indexed="9"/>
        <bgColor indexed="22"/>
      </patternFill>
    </fill>
    <fill>
      <patternFill patternType="solid">
        <fgColor theme="0" tint="-0.14999847407452621"/>
        <bgColor indexed="64"/>
      </patternFill>
    </fill>
    <fill>
      <patternFill patternType="solid">
        <fgColor theme="1" tint="0.499984740745262"/>
        <bgColor indexed="64"/>
      </patternFill>
    </fill>
    <fill>
      <patternFill patternType="solid">
        <fgColor theme="4" tint="0.79998168889431442"/>
        <bgColor indexed="64"/>
      </patternFill>
    </fill>
    <fill>
      <patternFill patternType="solid">
        <fgColor theme="4" tint="0.39994506668294322"/>
        <bgColor indexed="64"/>
      </patternFill>
    </fill>
  </fills>
  <borders count="71">
    <border>
      <left/>
      <right/>
      <top/>
      <bottom/>
      <diagonal/>
    </border>
    <border>
      <left/>
      <right/>
      <top/>
      <bottom style="thick">
        <color theme="4"/>
      </bottom>
      <diagonal/>
    </border>
    <border>
      <left/>
      <right/>
      <top/>
      <bottom style="thin">
        <color theme="6" tint="-0.24994659260841701"/>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0" tint="-0.24994659260841701"/>
      </left>
      <right/>
      <top/>
      <bottom/>
      <diagonal/>
    </border>
    <border>
      <left style="thin">
        <color theme="0" tint="-0.24994659260841701"/>
      </left>
      <right style="thin">
        <color theme="0" tint="-0.24994659260841701"/>
      </right>
      <top/>
      <bottom/>
      <diagonal/>
    </border>
    <border>
      <left/>
      <right style="thin">
        <color theme="0" tint="-0.24994659260841701"/>
      </right>
      <top/>
      <bottom/>
      <diagonal/>
    </border>
    <border>
      <left/>
      <right/>
      <top/>
      <bottom style="thin">
        <color theme="7"/>
      </bottom>
      <diagonal/>
    </border>
    <border>
      <left style="thin">
        <color theme="0"/>
      </left>
      <right style="thin">
        <color theme="0"/>
      </right>
      <top style="thin">
        <color theme="0"/>
      </top>
      <bottom style="thin">
        <color theme="0"/>
      </bottom>
      <diagonal/>
    </border>
    <border>
      <left/>
      <right/>
      <top style="thin">
        <color theme="9" tint="-0.24994659260841701"/>
      </top>
      <bottom style="thin">
        <color theme="9" tint="-0.24994659260841701"/>
      </bottom>
      <diagonal/>
    </border>
    <border>
      <left style="thin">
        <color indexed="62"/>
      </left>
      <right style="thin">
        <color indexed="62"/>
      </right>
      <top style="medium">
        <color indexed="62"/>
      </top>
      <bottom style="thin">
        <color indexed="62"/>
      </bottom>
      <diagonal/>
    </border>
    <border>
      <left style="thin">
        <color indexed="62"/>
      </left>
      <right/>
      <top style="medium">
        <color indexed="62"/>
      </top>
      <bottom style="thin">
        <color indexed="62"/>
      </bottom>
      <diagonal/>
    </border>
    <border>
      <left/>
      <right style="thin">
        <color indexed="62"/>
      </right>
      <top style="medium">
        <color indexed="62"/>
      </top>
      <bottom style="thin">
        <color indexed="62"/>
      </bottom>
      <diagonal/>
    </border>
    <border>
      <left/>
      <right/>
      <top style="medium">
        <color indexed="62"/>
      </top>
      <bottom/>
      <diagonal/>
    </border>
    <border>
      <left style="thin">
        <color indexed="62"/>
      </left>
      <right/>
      <top style="medium">
        <color indexed="62"/>
      </top>
      <bottom/>
      <diagonal/>
    </border>
    <border>
      <left/>
      <right style="thin">
        <color indexed="62"/>
      </right>
      <top style="thin">
        <color indexed="10"/>
      </top>
      <bottom style="thin">
        <color indexed="62"/>
      </bottom>
      <diagonal/>
    </border>
    <border>
      <left/>
      <right/>
      <top/>
      <bottom style="thin">
        <color indexed="62"/>
      </bottom>
      <diagonal/>
    </border>
    <border>
      <left style="thin">
        <color indexed="62"/>
      </left>
      <right/>
      <top style="thin">
        <color indexed="62"/>
      </top>
      <bottom style="thin">
        <color indexed="62"/>
      </bottom>
      <diagonal/>
    </border>
    <border>
      <left/>
      <right style="thin">
        <color indexed="10"/>
      </right>
      <top style="thin">
        <color indexed="10"/>
      </top>
      <bottom style="thin">
        <color indexed="10"/>
      </bottom>
      <diagonal/>
    </border>
    <border>
      <left style="thin">
        <color indexed="48"/>
      </left>
      <right style="thin">
        <color indexed="48"/>
      </right>
      <top style="thin">
        <color indexed="48"/>
      </top>
      <bottom style="thin">
        <color indexed="48"/>
      </bottom>
      <diagonal/>
    </border>
    <border>
      <left style="thin">
        <color indexed="62"/>
      </left>
      <right/>
      <top/>
      <bottom/>
      <diagonal/>
    </border>
    <border>
      <left/>
      <right style="thin">
        <color indexed="10"/>
      </right>
      <top/>
      <bottom style="thin">
        <color indexed="10"/>
      </bottom>
      <diagonal/>
    </border>
    <border>
      <left style="thin">
        <color indexed="62"/>
      </left>
      <right/>
      <top style="thin">
        <color indexed="62"/>
      </top>
      <bottom/>
      <diagonal/>
    </border>
    <border>
      <left style="thin">
        <color indexed="62"/>
      </left>
      <right style="thin">
        <color indexed="62"/>
      </right>
      <top style="thin">
        <color indexed="10"/>
      </top>
      <bottom style="thin">
        <color indexed="62"/>
      </bottom>
      <diagonal/>
    </border>
    <border>
      <left/>
      <right style="medium">
        <color indexed="62"/>
      </right>
      <top style="medium">
        <color indexed="62"/>
      </top>
      <bottom style="medium">
        <color indexed="62"/>
      </bottom>
      <diagonal/>
    </border>
    <border>
      <left style="medium">
        <color indexed="62"/>
      </left>
      <right/>
      <top style="medium">
        <color indexed="62"/>
      </top>
      <bottom style="medium">
        <color indexed="62"/>
      </bottom>
      <diagonal/>
    </border>
    <border>
      <left/>
      <right/>
      <top/>
      <bottom style="medium">
        <color indexed="9"/>
      </bottom>
      <diagonal/>
    </border>
    <border>
      <left style="thin">
        <color indexed="62"/>
      </left>
      <right style="thin">
        <color indexed="62"/>
      </right>
      <top style="thin">
        <color indexed="62"/>
      </top>
      <bottom style="thin">
        <color indexed="62"/>
      </bottom>
      <diagonal/>
    </border>
    <border>
      <left/>
      <right style="thin">
        <color indexed="62"/>
      </right>
      <top style="medium">
        <color indexed="62"/>
      </top>
      <bottom/>
      <diagonal/>
    </border>
    <border>
      <left/>
      <right/>
      <top style="medium">
        <color indexed="62"/>
      </top>
      <bottom style="medium">
        <color indexed="62"/>
      </bottom>
      <diagonal/>
    </border>
    <border>
      <left/>
      <right/>
      <top/>
      <bottom style="thin">
        <color indexed="64"/>
      </bottom>
      <diagonal/>
    </border>
    <border>
      <left style="thin">
        <color indexed="63"/>
      </left>
      <right style="thin">
        <color indexed="63"/>
      </right>
      <top style="thin">
        <color indexed="63"/>
      </top>
      <bottom style="thin">
        <color indexed="63"/>
      </bottom>
      <diagonal/>
    </border>
    <border>
      <left style="thin">
        <color indexed="10"/>
      </left>
      <right/>
      <top/>
      <bottom/>
      <diagonal/>
    </border>
    <border>
      <left/>
      <right/>
      <top style="medium">
        <color indexed="62"/>
      </top>
      <bottom style="thin">
        <color indexed="62"/>
      </bottom>
      <diagonal/>
    </border>
    <border>
      <left style="thin">
        <color indexed="62"/>
      </left>
      <right/>
      <top style="medium">
        <color indexed="62"/>
      </top>
      <bottom style="medium">
        <color indexed="62"/>
      </bottom>
      <diagonal/>
    </border>
    <border>
      <left/>
      <right style="thin">
        <color indexed="48"/>
      </right>
      <top/>
      <bottom style="thin">
        <color indexed="48"/>
      </bottom>
      <diagonal/>
    </border>
    <border>
      <left style="medium">
        <color indexed="62"/>
      </left>
      <right style="medium">
        <color indexed="62"/>
      </right>
      <top style="medium">
        <color indexed="62"/>
      </top>
      <bottom style="medium">
        <color indexed="62"/>
      </bottom>
      <diagonal/>
    </border>
    <border>
      <left/>
      <right/>
      <top style="thin">
        <color indexed="64"/>
      </top>
      <bottom/>
      <diagonal/>
    </border>
    <border>
      <left/>
      <right style="thin">
        <color auto="1"/>
      </right>
      <top/>
      <bottom style="thin">
        <color auto="1"/>
      </bottom>
      <diagonal/>
    </border>
    <border>
      <left/>
      <right/>
      <top/>
      <bottom style="thin">
        <color auto="1"/>
      </bottom>
      <diagonal/>
    </border>
    <border>
      <left/>
      <right style="dotted">
        <color indexed="22"/>
      </right>
      <top/>
      <bottom style="thin">
        <color auto="1"/>
      </bottom>
      <diagonal/>
    </border>
    <border>
      <left style="thin">
        <color indexed="64"/>
      </left>
      <right/>
      <top/>
      <bottom style="thin">
        <color indexed="64"/>
      </bottom>
      <diagonal/>
    </border>
    <border>
      <left/>
      <right style="thin">
        <color auto="1"/>
      </right>
      <top/>
      <bottom/>
      <diagonal/>
    </border>
    <border>
      <left/>
      <right style="dotted">
        <color indexed="22"/>
      </right>
      <top/>
      <bottom/>
      <diagonal/>
    </border>
    <border>
      <left style="thin">
        <color auto="1"/>
      </left>
      <right/>
      <top/>
      <bottom/>
      <diagonal/>
    </border>
    <border>
      <left/>
      <right style="thin">
        <color auto="1"/>
      </right>
      <top style="thin">
        <color auto="1"/>
      </top>
      <bottom style="thin">
        <color theme="0" tint="-0.24994659260841701"/>
      </bottom>
      <diagonal/>
    </border>
    <border>
      <left/>
      <right/>
      <top style="thin">
        <color auto="1"/>
      </top>
      <bottom style="thin">
        <color theme="0" tint="-0.24994659260841701"/>
      </bottom>
      <diagonal/>
    </border>
    <border>
      <left/>
      <right style="dotted">
        <color indexed="22"/>
      </right>
      <top style="thin">
        <color auto="1"/>
      </top>
      <bottom style="thin">
        <color theme="0" tint="-0.24994659260841701"/>
      </bottom>
      <diagonal/>
    </border>
    <border>
      <left style="thin">
        <color auto="1"/>
      </left>
      <right/>
      <top style="thin">
        <color auto="1"/>
      </top>
      <bottom style="thin">
        <color theme="0" tint="-0.24994659260841701"/>
      </bottom>
      <diagonal/>
    </border>
    <border>
      <left/>
      <right/>
      <top style="thin">
        <color indexed="64"/>
      </top>
      <bottom style="thin">
        <color indexed="64"/>
      </bottom>
      <diagonal/>
    </border>
    <border>
      <left/>
      <right style="thin">
        <color indexed="64"/>
      </right>
      <top style="hair">
        <color indexed="22"/>
      </top>
      <bottom style="thin">
        <color indexed="64"/>
      </bottom>
      <diagonal/>
    </border>
    <border>
      <left style="thin">
        <color indexed="64"/>
      </left>
      <right/>
      <top style="hair">
        <color indexed="22"/>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style="thin">
        <color indexed="23"/>
      </right>
      <top style="thin">
        <color indexed="23"/>
      </top>
      <bottom style="thin">
        <color indexed="23"/>
      </bottom>
      <diagonal/>
    </border>
    <border>
      <left/>
      <right/>
      <top style="thin">
        <color indexed="23"/>
      </top>
      <bottom style="thin">
        <color indexed="23"/>
      </bottom>
      <diagonal/>
    </border>
    <border>
      <left style="thin">
        <color indexed="23"/>
      </left>
      <right/>
      <top style="thin">
        <color indexed="23"/>
      </top>
      <bottom style="thin">
        <color indexed="23"/>
      </bottom>
      <diagonal/>
    </border>
    <border>
      <left/>
      <right/>
      <top style="thick">
        <color theme="4" tint="0.59996337778862885"/>
      </top>
      <bottom/>
      <diagonal/>
    </border>
    <border>
      <left/>
      <right/>
      <top/>
      <bottom style="medium">
        <color theme="4" tint="0.39994506668294322"/>
      </bottom>
      <diagonal/>
    </border>
    <border>
      <left/>
      <right/>
      <top style="hair">
        <color theme="4" tint="0.39994506668294322"/>
      </top>
      <bottom/>
      <diagonal/>
    </border>
    <border>
      <left/>
      <right/>
      <top style="hair">
        <color theme="4" tint="0.39994506668294322"/>
      </top>
      <bottom style="hair">
        <color theme="4" tint="0.39994506668294322"/>
      </bottom>
      <diagonal/>
    </border>
    <border>
      <left/>
      <right/>
      <top/>
      <bottom style="hair">
        <color theme="4" tint="0.39994506668294322"/>
      </bottom>
      <diagonal/>
    </border>
    <border>
      <left/>
      <right/>
      <top style="thin">
        <color theme="4" tint="0.59996337778862885"/>
      </top>
      <bottom style="hair">
        <color theme="4" tint="0.39994506668294322"/>
      </bottom>
      <diagonal/>
    </border>
    <border>
      <left/>
      <right/>
      <top/>
      <bottom style="thin">
        <color theme="4" tint="0.59996337778862885"/>
      </bottom>
      <diagonal/>
    </border>
    <border>
      <left/>
      <right/>
      <top style="medium">
        <color theme="4" tint="0.39994506668294322"/>
      </top>
      <bottom style="thin">
        <color theme="4" tint="0.59996337778862885"/>
      </bottom>
      <diagonal/>
    </border>
    <border>
      <left/>
      <right/>
      <top style="medium">
        <color theme="4" tint="0.79998168889431442"/>
      </top>
      <bottom style="medium">
        <color theme="4" tint="0.39994506668294322"/>
      </bottom>
      <diagonal/>
    </border>
    <border>
      <left/>
      <right/>
      <top/>
      <bottom style="medium">
        <color theme="4" tint="0.79998168889431442"/>
      </bottom>
      <diagonal/>
    </border>
    <border>
      <left/>
      <right style="thick">
        <color theme="0"/>
      </right>
      <top style="hair">
        <color theme="4" tint="0.39994506668294322"/>
      </top>
      <bottom style="hair">
        <color theme="4" tint="0.39994506668294322"/>
      </bottom>
      <diagonal/>
    </border>
    <border>
      <left/>
      <right/>
      <top/>
      <bottom style="thick">
        <color theme="4" tint="0.39994506668294322"/>
      </bottom>
      <diagonal/>
    </border>
    <border>
      <left/>
      <right/>
      <top/>
      <bottom style="thick">
        <color theme="0"/>
      </bottom>
      <diagonal/>
    </border>
  </borders>
  <cellStyleXfs count="28">
    <xf numFmtId="0" fontId="0" fillId="0" borderId="0"/>
    <xf numFmtId="0" fontId="1" fillId="0" borderId="0"/>
    <xf numFmtId="0" fontId="5" fillId="0" borderId="0"/>
    <xf numFmtId="0" fontId="8" fillId="0" borderId="0" applyNumberFormat="0" applyFill="0" applyAlignment="0" applyProtection="0"/>
    <xf numFmtId="0" fontId="9" fillId="0" borderId="2" applyNumberFormat="0" applyFill="0" applyAlignment="0" applyProtection="0"/>
    <xf numFmtId="0" fontId="11" fillId="0" borderId="0" applyNumberFormat="0" applyFill="0" applyBorder="0" applyAlignment="0" applyProtection="0"/>
    <xf numFmtId="0" fontId="12" fillId="0" borderId="0" applyNumberFormat="0" applyFill="0" applyAlignment="0" applyProtection="0"/>
    <xf numFmtId="0" fontId="13" fillId="0" borderId="0"/>
    <xf numFmtId="0" fontId="18" fillId="0" borderId="0" applyNumberFormat="0" applyFill="0" applyBorder="0" applyAlignment="0" applyProtection="0"/>
    <xf numFmtId="0" fontId="27" fillId="0" borderId="0" applyNumberFormat="0" applyFill="0" applyBorder="0" applyAlignment="0" applyProtection="0"/>
    <xf numFmtId="0" fontId="29" fillId="0" borderId="0" applyNumberFormat="0" applyFill="0" applyBorder="0" applyProtection="0">
      <alignment vertical="center"/>
    </xf>
    <xf numFmtId="9" fontId="30" fillId="0" borderId="0" applyFill="0" applyBorder="0" applyProtection="0">
      <alignment horizontal="center" vertical="center"/>
    </xf>
    <xf numFmtId="0" fontId="31" fillId="0" borderId="0" applyFill="0" applyBorder="0" applyProtection="0">
      <alignment horizontal="left"/>
    </xf>
    <xf numFmtId="3" fontId="35" fillId="0" borderId="8" applyFill="0" applyProtection="0">
      <alignment horizontal="center"/>
    </xf>
    <xf numFmtId="0" fontId="35" fillId="0" borderId="0" applyFill="0" applyBorder="0" applyProtection="0">
      <alignment horizontal="center"/>
    </xf>
    <xf numFmtId="0" fontId="36" fillId="0" borderId="0" applyNumberFormat="0" applyFill="0" applyBorder="0" applyAlignment="0" applyProtection="0"/>
    <xf numFmtId="0" fontId="37" fillId="0" borderId="0" applyNumberFormat="0" applyFill="0" applyBorder="0" applyProtection="0">
      <alignment horizontal="left" vertical="center"/>
    </xf>
    <xf numFmtId="0" fontId="39" fillId="19" borderId="10" applyNumberFormat="0" applyProtection="0">
      <alignment horizontal="left" vertical="center"/>
    </xf>
    <xf numFmtId="0" fontId="41" fillId="0" borderId="0"/>
    <xf numFmtId="0" fontId="64" fillId="0" borderId="0">
      <alignment vertical="center"/>
    </xf>
    <xf numFmtId="0" fontId="13" fillId="2" borderId="0" applyNumberFormat="0" applyBorder="0" applyAlignment="0" applyProtection="0"/>
    <xf numFmtId="0" fontId="65" fillId="0" borderId="0" applyNumberFormat="0" applyFill="0" applyBorder="0" applyAlignment="0" applyProtection="0"/>
    <xf numFmtId="0" fontId="69" fillId="0" borderId="0" applyNumberFormat="0" applyFill="0" applyBorder="0" applyAlignment="0" applyProtection="0"/>
    <xf numFmtId="0" fontId="70" fillId="0" borderId="1" applyNumberFormat="0" applyFill="0" applyAlignment="0" applyProtection="0"/>
    <xf numFmtId="0" fontId="85" fillId="31" borderId="59" applyNumberFormat="0" applyProtection="0">
      <alignment vertical="center"/>
    </xf>
    <xf numFmtId="0" fontId="93" fillId="0" borderId="0" applyNumberFormat="0" applyFill="0" applyBorder="0" applyAlignment="0" applyProtection="0"/>
    <xf numFmtId="0" fontId="96" fillId="30" borderId="67" applyNumberFormat="0" applyProtection="0">
      <alignment vertical="center"/>
    </xf>
    <xf numFmtId="0" fontId="99" fillId="0" borderId="0" applyNumberFormat="0" applyFill="0" applyBorder="0" applyAlignment="0" applyProtection="0"/>
  </cellStyleXfs>
  <cellXfs count="396">
    <xf numFmtId="0" fontId="0" fillId="0" borderId="0" xfId="0"/>
    <xf numFmtId="0" fontId="1" fillId="0" borderId="0" xfId="1"/>
    <xf numFmtId="3" fontId="1" fillId="0" borderId="0" xfId="1" applyNumberFormat="1" applyAlignment="1">
      <alignment horizontal="right" indent="2"/>
    </xf>
    <xf numFmtId="0" fontId="1" fillId="0" borderId="0" xfId="1" applyAlignment="1">
      <alignment horizontal="left" indent="1"/>
    </xf>
    <xf numFmtId="0" fontId="1" fillId="0" borderId="0" xfId="1" applyAlignment="1">
      <alignment horizontal="center"/>
    </xf>
    <xf numFmtId="3" fontId="1" fillId="0" borderId="0" xfId="1" applyNumberFormat="1" applyFont="1" applyFill="1" applyBorder="1" applyAlignment="1">
      <alignment horizontal="right" vertical="center" indent="1"/>
    </xf>
    <xf numFmtId="0" fontId="1" fillId="0" borderId="0" xfId="1" applyFont="1" applyFill="1" applyBorder="1" applyAlignment="1">
      <alignment horizontal="left" vertical="center" indent="1"/>
    </xf>
    <xf numFmtId="3" fontId="2" fillId="0" borderId="0" xfId="1" applyNumberFormat="1" applyFont="1" applyFill="1" applyBorder="1" applyAlignment="1">
      <alignment horizontal="center" vertical="center"/>
    </xf>
    <xf numFmtId="0" fontId="2" fillId="0" borderId="0" xfId="1" applyFont="1" applyFill="1" applyBorder="1" applyAlignment="1">
      <alignment horizontal="left" vertical="center" indent="1"/>
    </xf>
    <xf numFmtId="0" fontId="1" fillId="0" borderId="0" xfId="1" applyFont="1" applyFill="1" applyBorder="1" applyAlignment="1">
      <alignment horizontal="right" vertical="center"/>
    </xf>
    <xf numFmtId="3" fontId="2" fillId="0" borderId="0" xfId="1" applyNumberFormat="1" applyFont="1" applyFill="1" applyBorder="1" applyAlignment="1">
      <alignment horizontal="right" vertical="center" indent="1"/>
    </xf>
    <xf numFmtId="0" fontId="1" fillId="0" borderId="0" xfId="1" applyFont="1" applyFill="1" applyBorder="1" applyAlignment="1">
      <alignment vertical="center"/>
    </xf>
    <xf numFmtId="0" fontId="1" fillId="0" borderId="0" xfId="1"/>
    <xf numFmtId="3" fontId="3" fillId="3" borderId="0" xfId="1" applyNumberFormat="1" applyFont="1" applyFill="1" applyBorder="1" applyAlignment="1">
      <alignment horizontal="right" vertical="center" indent="1"/>
    </xf>
    <xf numFmtId="0" fontId="3" fillId="3" borderId="0" xfId="1" applyFont="1" applyFill="1" applyBorder="1" applyAlignment="1">
      <alignment horizontal="left" vertical="center" indent="1"/>
    </xf>
    <xf numFmtId="49" fontId="1" fillId="0" borderId="0" xfId="1" applyNumberFormat="1" applyAlignment="1">
      <alignment horizontal="left" indent="1"/>
    </xf>
    <xf numFmtId="3" fontId="1" fillId="0" borderId="0" xfId="1" applyNumberFormat="1" applyFill="1" applyAlignment="1">
      <alignment horizontal="right" indent="2"/>
    </xf>
    <xf numFmtId="0" fontId="4" fillId="0" borderId="0" xfId="1" applyFont="1" applyAlignment="1">
      <alignment horizontal="left"/>
    </xf>
    <xf numFmtId="0" fontId="5" fillId="0" borderId="0" xfId="2"/>
    <xf numFmtId="164" fontId="6" fillId="0" borderId="0" xfId="2" applyNumberFormat="1" applyFont="1" applyFill="1" applyBorder="1" applyAlignment="1">
      <alignment vertical="center"/>
    </xf>
    <xf numFmtId="0" fontId="6" fillId="0" borderId="0" xfId="2" applyFont="1" applyFill="1" applyBorder="1" applyAlignment="1">
      <alignment vertical="center"/>
    </xf>
    <xf numFmtId="0" fontId="7" fillId="0" borderId="0" xfId="2" applyFont="1" applyFill="1" applyBorder="1"/>
    <xf numFmtId="0" fontId="8" fillId="0" borderId="0" xfId="3"/>
    <xf numFmtId="0" fontId="9" fillId="0" borderId="2" xfId="4"/>
    <xf numFmtId="0" fontId="5" fillId="0" borderId="0" xfId="2" applyAlignment="1">
      <alignment horizontal="center"/>
    </xf>
    <xf numFmtId="164" fontId="5" fillId="0" borderId="0" xfId="2" applyNumberFormat="1" applyFont="1" applyFill="1" applyBorder="1"/>
    <xf numFmtId="0" fontId="5" fillId="0" borderId="0" xfId="2" applyFont="1" applyFill="1" applyBorder="1"/>
    <xf numFmtId="0" fontId="10" fillId="0" borderId="0" xfId="2" applyFont="1" applyFill="1" applyBorder="1"/>
    <xf numFmtId="164" fontId="11" fillId="6" borderId="3" xfId="5" applyNumberFormat="1" applyFill="1" applyBorder="1"/>
    <xf numFmtId="0" fontId="11" fillId="6" borderId="4" xfId="5" applyFill="1" applyBorder="1"/>
    <xf numFmtId="0" fontId="12" fillId="0" borderId="0" xfId="6"/>
    <xf numFmtId="0" fontId="5" fillId="0" borderId="0" xfId="2" applyAlignment="1">
      <alignment horizontal="right"/>
    </xf>
    <xf numFmtId="164" fontId="5" fillId="6" borderId="0" xfId="2" applyNumberFormat="1" applyFont="1" applyFill="1" applyBorder="1"/>
    <xf numFmtId="0" fontId="5" fillId="0" borderId="0" xfId="2" applyFont="1" applyFill="1" applyBorder="1" applyAlignment="1">
      <alignment horizontal="right"/>
    </xf>
    <xf numFmtId="0" fontId="10" fillId="0" borderId="0" xfId="2" applyFont="1" applyFill="1" applyBorder="1" applyAlignment="1">
      <alignment horizontal="right"/>
    </xf>
    <xf numFmtId="0" fontId="11" fillId="0" borderId="0" xfId="5"/>
    <xf numFmtId="0" fontId="8" fillId="0" borderId="0" xfId="3" applyAlignment="1">
      <alignment horizontal="right"/>
    </xf>
    <xf numFmtId="0" fontId="9" fillId="0" borderId="2" xfId="4" applyAlignment="1">
      <alignment horizontal="right"/>
    </xf>
    <xf numFmtId="0" fontId="14" fillId="0" borderId="0" xfId="7" applyFont="1"/>
    <xf numFmtId="0" fontId="14" fillId="0" borderId="0" xfId="7" applyFont="1" applyAlignment="1">
      <alignment horizontal="center"/>
    </xf>
    <xf numFmtId="0" fontId="14" fillId="0" borderId="0" xfId="7" applyFont="1" applyAlignment="1">
      <alignment horizontal="right" indent="2"/>
    </xf>
    <xf numFmtId="49" fontId="14" fillId="0" borderId="0" xfId="7" applyNumberFormat="1" applyFont="1"/>
    <xf numFmtId="0" fontId="13" fillId="0" borderId="0" xfId="7"/>
    <xf numFmtId="165" fontId="13" fillId="7" borderId="0" xfId="7" applyNumberFormat="1" applyFont="1" applyFill="1" applyBorder="1" applyAlignment="1">
      <alignment horizontal="center" vertical="center"/>
    </xf>
    <xf numFmtId="0" fontId="14" fillId="7" borderId="0" xfId="7" applyFont="1" applyFill="1" applyAlignment="1">
      <alignment vertical="center"/>
    </xf>
    <xf numFmtId="165" fontId="13" fillId="7" borderId="0" xfId="7" applyNumberFormat="1" applyFont="1" applyFill="1" applyBorder="1" applyAlignment="1">
      <alignment horizontal="left" vertical="center"/>
    </xf>
    <xf numFmtId="165" fontId="15" fillId="5" borderId="0" xfId="7" applyNumberFormat="1" applyFont="1" applyFill="1" applyBorder="1" applyAlignment="1">
      <alignment horizontal="center" vertical="center"/>
    </xf>
    <xf numFmtId="165" fontId="15" fillId="8" borderId="0" xfId="7" applyNumberFormat="1" applyFont="1" applyFill="1" applyBorder="1" applyAlignment="1">
      <alignment horizontal="center" vertical="center"/>
    </xf>
    <xf numFmtId="165" fontId="15" fillId="9" borderId="0" xfId="7" applyNumberFormat="1" applyFont="1" applyFill="1" applyBorder="1" applyAlignment="1">
      <alignment horizontal="center" vertical="center"/>
    </xf>
    <xf numFmtId="165" fontId="15" fillId="3" borderId="0" xfId="7" applyNumberFormat="1" applyFont="1" applyFill="1" applyBorder="1" applyAlignment="1">
      <alignment horizontal="center" vertical="center"/>
    </xf>
    <xf numFmtId="165" fontId="15" fillId="10" borderId="0" xfId="7" applyNumberFormat="1" applyFont="1" applyFill="1" applyBorder="1" applyAlignment="1">
      <alignment horizontal="center" vertical="center"/>
    </xf>
    <xf numFmtId="165" fontId="13" fillId="11" borderId="0" xfId="7" applyNumberFormat="1" applyFont="1" applyFill="1" applyBorder="1" applyAlignment="1">
      <alignment horizontal="center" vertical="center"/>
    </xf>
    <xf numFmtId="165" fontId="16" fillId="11" borderId="0" xfId="7" applyNumberFormat="1" applyFont="1" applyFill="1" applyBorder="1" applyAlignment="1">
      <alignment vertical="center"/>
    </xf>
    <xf numFmtId="0" fontId="13" fillId="0" borderId="0" xfId="7" applyFont="1" applyFill="1" applyBorder="1" applyAlignment="1">
      <alignment horizontal="left" vertical="center"/>
    </xf>
    <xf numFmtId="0" fontId="13" fillId="0" borderId="0" xfId="7" applyFont="1" applyFill="1" applyBorder="1" applyAlignment="1">
      <alignment horizontal="center" vertical="center"/>
    </xf>
    <xf numFmtId="165" fontId="13" fillId="0" borderId="0" xfId="7" applyNumberFormat="1" applyFont="1" applyFill="1" applyBorder="1" applyAlignment="1">
      <alignment horizontal="center" vertical="center"/>
    </xf>
    <xf numFmtId="0" fontId="13" fillId="0" borderId="0" xfId="7" applyFont="1" applyFill="1" applyBorder="1" applyAlignment="1">
      <alignment horizontal="left" vertical="center" indent="1"/>
    </xf>
    <xf numFmtId="0" fontId="14" fillId="0" borderId="0" xfId="7" applyFont="1" applyAlignment="1">
      <alignment vertical="center"/>
    </xf>
    <xf numFmtId="0" fontId="14" fillId="0" borderId="0" xfId="7" applyFont="1" applyAlignment="1">
      <alignment horizontal="center" vertical="center"/>
    </xf>
    <xf numFmtId="0" fontId="13" fillId="0" borderId="0" xfId="7" applyFont="1" applyFill="1" applyBorder="1" applyAlignment="1">
      <alignment horizontal="center" vertical="center"/>
    </xf>
    <xf numFmtId="49" fontId="13" fillId="0" borderId="0" xfId="7" applyNumberFormat="1" applyFont="1" applyFill="1" applyBorder="1" applyAlignment="1">
      <alignment horizontal="left" vertical="center" wrapText="1" indent="2"/>
    </xf>
    <xf numFmtId="0" fontId="17" fillId="0" borderId="0" xfId="7" applyFont="1" applyAlignment="1">
      <alignment vertical="center"/>
    </xf>
    <xf numFmtId="0" fontId="17" fillId="0" borderId="0" xfId="7" applyFont="1" applyAlignment="1">
      <alignment horizontal="center" vertical="center"/>
    </xf>
    <xf numFmtId="49" fontId="13" fillId="0" borderId="0" xfId="7" applyNumberFormat="1" applyFont="1" applyFill="1" applyBorder="1" applyAlignment="1">
      <alignment horizontal="left" vertical="center" indent="1"/>
    </xf>
    <xf numFmtId="0" fontId="17" fillId="0" borderId="0" xfId="7" applyFont="1"/>
    <xf numFmtId="0" fontId="17" fillId="0" borderId="0" xfId="7" applyFont="1" applyAlignment="1">
      <alignment horizontal="center"/>
    </xf>
    <xf numFmtId="0" fontId="19" fillId="12" borderId="0" xfId="8" applyFont="1" applyFill="1" applyBorder="1" applyAlignment="1">
      <alignment horizontal="right" vertical="center" indent="1"/>
    </xf>
    <xf numFmtId="0" fontId="20" fillId="13" borderId="5" xfId="7" applyFont="1" applyFill="1" applyBorder="1" applyAlignment="1">
      <alignment horizontal="center"/>
    </xf>
    <xf numFmtId="0" fontId="20" fillId="13" borderId="6" xfId="7" applyFont="1" applyFill="1" applyBorder="1" applyAlignment="1">
      <alignment horizontal="center"/>
    </xf>
    <xf numFmtId="0" fontId="20" fillId="13" borderId="7" xfId="7" applyFont="1" applyFill="1" applyBorder="1" applyAlignment="1">
      <alignment horizontal="center"/>
    </xf>
    <xf numFmtId="17" fontId="21" fillId="12" borderId="0" xfId="7" applyNumberFormat="1" applyFont="1" applyFill="1" applyBorder="1" applyAlignment="1">
      <alignment horizontal="left" vertical="center" indent="1"/>
    </xf>
    <xf numFmtId="0" fontId="22" fillId="0" borderId="0" xfId="7" applyFont="1" applyAlignment="1">
      <alignment vertical="center"/>
    </xf>
    <xf numFmtId="0" fontId="22" fillId="0" borderId="0" xfId="7" applyFont="1" applyAlignment="1">
      <alignment horizontal="center" vertical="center"/>
    </xf>
    <xf numFmtId="0" fontId="23" fillId="12" borderId="0" xfId="7" applyFont="1" applyFill="1" applyBorder="1" applyAlignment="1">
      <alignment horizontal="center" vertical="center"/>
    </xf>
    <xf numFmtId="0" fontId="24" fillId="0" borderId="0" xfId="7" applyFont="1" applyFill="1" applyAlignment="1">
      <alignment vertical="center"/>
    </xf>
    <xf numFmtId="0" fontId="24" fillId="0" borderId="0" xfId="7" applyFont="1" applyFill="1" applyAlignment="1">
      <alignment horizontal="center" vertical="center"/>
    </xf>
    <xf numFmtId="0" fontId="25" fillId="0" borderId="0" xfId="7" applyFont="1"/>
    <xf numFmtId="0" fontId="26" fillId="0" borderId="0" xfId="7" applyFont="1" applyBorder="1" applyAlignment="1">
      <alignment vertical="top"/>
    </xf>
    <xf numFmtId="0" fontId="24" fillId="0" borderId="0" xfId="7" applyFont="1" applyFill="1" applyAlignment="1">
      <alignment vertical="top"/>
    </xf>
    <xf numFmtId="0" fontId="25" fillId="0" borderId="0" xfId="7" applyFont="1" applyBorder="1" applyAlignment="1">
      <alignment vertical="top"/>
    </xf>
    <xf numFmtId="49" fontId="27" fillId="0" borderId="0" xfId="9" applyNumberFormat="1" applyFont="1" applyFill="1" applyBorder="1" applyAlignment="1">
      <alignment vertical="top"/>
    </xf>
    <xf numFmtId="49" fontId="14" fillId="0" borderId="0" xfId="7" applyNumberFormat="1" applyFont="1" applyAlignment="1">
      <alignment horizontal="center"/>
    </xf>
    <xf numFmtId="0" fontId="13" fillId="0" borderId="0" xfId="7" applyNumberFormat="1" applyFont="1" applyFill="1" applyBorder="1" applyAlignment="1">
      <alignment horizontal="center" vertical="center"/>
    </xf>
    <xf numFmtId="0" fontId="14" fillId="0" borderId="0" xfId="7" applyFont="1" applyFill="1" applyAlignment="1">
      <alignment vertical="center"/>
    </xf>
    <xf numFmtId="0" fontId="14" fillId="0" borderId="0" xfId="7" applyFont="1" applyFill="1" applyAlignment="1">
      <alignment horizontal="center" vertical="center"/>
    </xf>
    <xf numFmtId="0" fontId="28" fillId="0" borderId="0" xfId="7" applyFont="1" applyBorder="1" applyAlignment="1">
      <alignment vertical="top"/>
    </xf>
    <xf numFmtId="0" fontId="14" fillId="0" borderId="0" xfId="7" applyFont="1" applyFill="1" applyAlignment="1">
      <alignment vertical="top"/>
    </xf>
    <xf numFmtId="0" fontId="13" fillId="0" borderId="0" xfId="7" applyBorder="1" applyAlignment="1">
      <alignment vertical="top"/>
    </xf>
    <xf numFmtId="49" fontId="27" fillId="0" borderId="0" xfId="9" applyNumberFormat="1" applyFill="1" applyBorder="1" applyAlignment="1">
      <alignment vertical="top"/>
    </xf>
    <xf numFmtId="0" fontId="29" fillId="0" borderId="0" xfId="10">
      <alignment vertical="center"/>
    </xf>
    <xf numFmtId="0" fontId="29" fillId="0" borderId="0" xfId="10" applyAlignment="1">
      <alignment horizontal="center"/>
    </xf>
    <xf numFmtId="9" fontId="30" fillId="0" borderId="0" xfId="11">
      <alignment horizontal="center" vertical="center"/>
    </xf>
    <xf numFmtId="0" fontId="31" fillId="0" borderId="0" xfId="12">
      <alignment horizontal="left"/>
    </xf>
    <xf numFmtId="9" fontId="32" fillId="0" borderId="0" xfId="11" applyFont="1">
      <alignment horizontal="center" vertical="center"/>
    </xf>
    <xf numFmtId="0" fontId="33" fillId="0" borderId="0" xfId="10" applyFont="1" applyAlignment="1">
      <alignment horizontal="center"/>
    </xf>
    <xf numFmtId="0" fontId="34" fillId="0" borderId="0" xfId="12" applyFont="1">
      <alignment horizontal="left"/>
    </xf>
    <xf numFmtId="0" fontId="33" fillId="0" borderId="0" xfId="10" quotePrefix="1" applyFont="1" applyAlignment="1">
      <alignment horizontal="center"/>
    </xf>
    <xf numFmtId="3" fontId="35" fillId="0" borderId="8" xfId="13">
      <alignment horizontal="center"/>
    </xf>
    <xf numFmtId="0" fontId="35" fillId="0" borderId="0" xfId="14">
      <alignment horizontal="center"/>
    </xf>
    <xf numFmtId="0" fontId="35" fillId="0" borderId="0" xfId="14" applyAlignment="1">
      <alignment horizontal="left"/>
    </xf>
    <xf numFmtId="0" fontId="36" fillId="0" borderId="0" xfId="15" applyAlignment="1">
      <alignment horizontal="left"/>
    </xf>
    <xf numFmtId="0" fontId="0" fillId="0" borderId="0" xfId="16" applyFont="1">
      <alignment horizontal="left" vertical="center"/>
    </xf>
    <xf numFmtId="0" fontId="29" fillId="14" borderId="9" xfId="10" applyFill="1" applyBorder="1" applyAlignment="1">
      <alignment horizontal="center"/>
    </xf>
    <xf numFmtId="0" fontId="29" fillId="15" borderId="9" xfId="10" applyFill="1" applyBorder="1" applyAlignment="1">
      <alignment horizontal="center"/>
    </xf>
    <xf numFmtId="0" fontId="29" fillId="16" borderId="9" xfId="10" applyFill="1" applyBorder="1" applyAlignment="1">
      <alignment horizontal="center"/>
    </xf>
    <xf numFmtId="0" fontId="38" fillId="0" borderId="0" xfId="16" applyFont="1">
      <alignment horizontal="left" vertical="center"/>
    </xf>
    <xf numFmtId="0" fontId="29" fillId="17" borderId="9" xfId="10" applyFill="1" applyBorder="1" applyAlignment="1">
      <alignment horizontal="center"/>
    </xf>
    <xf numFmtId="0" fontId="29" fillId="18" borderId="9" xfId="10" applyFill="1" applyBorder="1" applyAlignment="1">
      <alignment horizontal="center"/>
    </xf>
    <xf numFmtId="0" fontId="39" fillId="19" borderId="10" xfId="17">
      <alignment horizontal="left" vertical="center"/>
    </xf>
    <xf numFmtId="0" fontId="40" fillId="19" borderId="10" xfId="17" applyFont="1">
      <alignment horizontal="left" vertical="center"/>
    </xf>
    <xf numFmtId="0" fontId="42" fillId="0" borderId="0" xfId="18" applyFont="1"/>
    <xf numFmtId="0" fontId="42" fillId="20" borderId="0" xfId="18" applyFont="1" applyFill="1"/>
    <xf numFmtId="166" fontId="43" fillId="21" borderId="11" xfId="18" applyNumberFormat="1" applyFont="1" applyFill="1" applyBorder="1" applyAlignment="1" applyProtection="1">
      <alignment horizontal="right" vertical="center"/>
    </xf>
    <xf numFmtId="166" fontId="43" fillId="21" borderId="12" xfId="18" applyNumberFormat="1" applyFont="1" applyFill="1" applyBorder="1" applyAlignment="1" applyProtection="1">
      <alignment horizontal="right" vertical="center"/>
    </xf>
    <xf numFmtId="0" fontId="44" fillId="0" borderId="0" xfId="18" applyNumberFormat="1" applyFont="1" applyFill="1" applyBorder="1" applyAlignment="1" applyProtection="1"/>
    <xf numFmtId="0" fontId="45" fillId="22" borderId="13" xfId="18" applyNumberFormat="1" applyFont="1" applyFill="1" applyBorder="1" applyAlignment="1" applyProtection="1">
      <alignment horizontal="right" vertical="center"/>
    </xf>
    <xf numFmtId="0" fontId="45" fillId="22" borderId="14" xfId="18" applyNumberFormat="1" applyFont="1" applyFill="1" applyBorder="1" applyAlignment="1" applyProtection="1">
      <alignment horizontal="right" vertical="center"/>
    </xf>
    <xf numFmtId="0" fontId="46" fillId="22" borderId="15" xfId="18" applyNumberFormat="1" applyFont="1" applyFill="1" applyBorder="1" applyAlignment="1" applyProtection="1">
      <alignment vertical="center"/>
    </xf>
    <xf numFmtId="0" fontId="47" fillId="0" borderId="0" xfId="18" applyFont="1" applyAlignment="1">
      <alignment horizontal="right"/>
    </xf>
    <xf numFmtId="0" fontId="47" fillId="0" borderId="0" xfId="18" applyFont="1"/>
    <xf numFmtId="0" fontId="42" fillId="23" borderId="0" xfId="18" applyFont="1" applyFill="1"/>
    <xf numFmtId="166" fontId="48" fillId="23" borderId="16" xfId="18" applyNumberFormat="1" applyFont="1" applyFill="1" applyBorder="1" applyAlignment="1" applyProtection="1">
      <alignment horizontal="right"/>
    </xf>
    <xf numFmtId="166" fontId="48" fillId="23" borderId="17" xfId="18" applyNumberFormat="1" applyFont="1" applyFill="1" applyBorder="1" applyAlignment="1" applyProtection="1">
      <alignment horizontal="right"/>
    </xf>
    <xf numFmtId="0" fontId="44" fillId="23" borderId="18" xfId="18" applyNumberFormat="1" applyFont="1" applyFill="1" applyBorder="1" applyAlignment="1" applyProtection="1"/>
    <xf numFmtId="167" fontId="44" fillId="0" borderId="19" xfId="18" applyNumberFormat="1" applyFont="1" applyFill="1" applyBorder="1" applyAlignment="1" applyProtection="1">
      <alignment horizontal="right"/>
    </xf>
    <xf numFmtId="167" fontId="44" fillId="0" borderId="20" xfId="18" applyNumberFormat="1" applyFont="1" applyFill="1" applyBorder="1" applyAlignment="1" applyProtection="1">
      <alignment horizontal="right"/>
    </xf>
    <xf numFmtId="0" fontId="44" fillId="0" borderId="21" xfId="18" applyNumberFormat="1" applyFont="1" applyFill="1" applyBorder="1" applyAlignment="1" applyProtection="1"/>
    <xf numFmtId="166" fontId="44" fillId="0" borderId="22" xfId="18" applyNumberFormat="1" applyFont="1" applyFill="1" applyBorder="1" applyAlignment="1" applyProtection="1">
      <alignment horizontal="right"/>
    </xf>
    <xf numFmtId="166" fontId="44" fillId="0" borderId="20" xfId="18" applyNumberFormat="1" applyFont="1" applyFill="1" applyBorder="1" applyAlignment="1" applyProtection="1">
      <alignment horizontal="right"/>
    </xf>
    <xf numFmtId="0" fontId="44" fillId="0" borderId="23" xfId="18" applyNumberFormat="1" applyFont="1" applyFill="1" applyBorder="1" applyAlignment="1" applyProtection="1"/>
    <xf numFmtId="0" fontId="49" fillId="22" borderId="12" xfId="18" applyNumberFormat="1" applyFont="1" applyFill="1" applyBorder="1" applyAlignment="1" applyProtection="1">
      <alignment vertical="center"/>
    </xf>
    <xf numFmtId="166" fontId="48" fillId="23" borderId="24" xfId="18" applyNumberFormat="1" applyFont="1" applyFill="1" applyBorder="1" applyAlignment="1" applyProtection="1">
      <alignment horizontal="right"/>
    </xf>
    <xf numFmtId="166" fontId="44" fillId="0" borderId="19" xfId="18" applyNumberFormat="1" applyFont="1" applyFill="1" applyBorder="1" applyAlignment="1" applyProtection="1">
      <alignment horizontal="right"/>
    </xf>
    <xf numFmtId="0" fontId="42" fillId="20" borderId="25" xfId="18" applyFont="1" applyFill="1" applyBorder="1"/>
    <xf numFmtId="0" fontId="49" fillId="22" borderId="26" xfId="18" applyNumberFormat="1" applyFont="1" applyFill="1" applyBorder="1" applyAlignment="1" applyProtection="1"/>
    <xf numFmtId="0" fontId="42" fillId="0" borderId="0" xfId="18" applyFont="1" applyFill="1"/>
    <xf numFmtId="166" fontId="48" fillId="23" borderId="24" xfId="18" applyNumberFormat="1" applyFont="1" applyFill="1" applyBorder="1" applyAlignment="1">
      <alignment horizontal="right"/>
    </xf>
    <xf numFmtId="166" fontId="48" fillId="23" borderId="17" xfId="18" applyNumberFormat="1" applyFont="1" applyFill="1" applyBorder="1" applyAlignment="1">
      <alignment horizontal="right"/>
    </xf>
    <xf numFmtId="166" fontId="44" fillId="24" borderId="20" xfId="18" applyNumberFormat="1" applyFont="1" applyFill="1" applyBorder="1" applyAlignment="1" applyProtection="1">
      <alignment horizontal="right"/>
    </xf>
    <xf numFmtId="0" fontId="49" fillId="22" borderId="26" xfId="18" applyNumberFormat="1" applyFont="1" applyFill="1" applyBorder="1" applyAlignment="1" applyProtection="1">
      <alignment vertical="center"/>
    </xf>
    <xf numFmtId="0" fontId="50" fillId="0" borderId="0" xfId="18" applyFont="1" applyBorder="1"/>
    <xf numFmtId="0" fontId="42" fillId="0" borderId="0" xfId="18" applyFont="1" applyBorder="1"/>
    <xf numFmtId="0" fontId="51" fillId="0" borderId="0" xfId="18" applyFont="1" applyBorder="1" applyAlignment="1">
      <alignment horizontal="left" vertical="center"/>
    </xf>
    <xf numFmtId="0" fontId="42" fillId="25" borderId="0" xfId="18" applyFont="1" applyFill="1"/>
    <xf numFmtId="0" fontId="52" fillId="25" borderId="0" xfId="18" applyFont="1" applyFill="1" applyAlignment="1">
      <alignment horizontal="left" vertical="center"/>
    </xf>
    <xf numFmtId="0" fontId="53" fillId="25" borderId="0" xfId="18" applyFont="1" applyFill="1" applyAlignment="1">
      <alignment horizontal="left" vertical="center"/>
    </xf>
    <xf numFmtId="0" fontId="42" fillId="20" borderId="27" xfId="18" applyFont="1" applyFill="1" applyBorder="1"/>
    <xf numFmtId="0" fontId="41" fillId="20" borderId="27" xfId="18" applyFill="1" applyBorder="1" applyAlignment="1">
      <alignment vertical="center"/>
    </xf>
    <xf numFmtId="168" fontId="55" fillId="20" borderId="27" xfId="18" applyNumberFormat="1" applyFont="1" applyFill="1" applyBorder="1" applyAlignment="1">
      <alignment horizontal="right" vertical="top"/>
    </xf>
    <xf numFmtId="0" fontId="56" fillId="0" borderId="27" xfId="18" applyFont="1" applyBorder="1" applyAlignment="1">
      <alignment vertical="center"/>
    </xf>
    <xf numFmtId="0" fontId="57" fillId="20" borderId="27" xfId="18" applyFont="1" applyFill="1" applyBorder="1" applyAlignment="1">
      <alignment vertical="center"/>
    </xf>
    <xf numFmtId="166" fontId="43" fillId="21" borderId="28" xfId="18" applyNumberFormat="1" applyFont="1" applyFill="1" applyBorder="1" applyAlignment="1" applyProtection="1">
      <alignment horizontal="right" vertical="center"/>
    </xf>
    <xf numFmtId="0" fontId="45" fillId="22" borderId="29" xfId="18" applyNumberFormat="1" applyFont="1" applyFill="1" applyBorder="1" applyAlignment="1" applyProtection="1">
      <alignment horizontal="right" vertical="center"/>
    </xf>
    <xf numFmtId="0" fontId="45" fillId="22" borderId="30" xfId="18" applyNumberFormat="1" applyFont="1" applyFill="1" applyBorder="1" applyAlignment="1" applyProtection="1"/>
    <xf numFmtId="0" fontId="42" fillId="26" borderId="0" xfId="18" applyFont="1" applyFill="1"/>
    <xf numFmtId="166" fontId="48" fillId="0" borderId="0" xfId="18" applyNumberFormat="1" applyFont="1" applyFill="1" applyBorder="1" applyAlignment="1" applyProtection="1"/>
    <xf numFmtId="166" fontId="44" fillId="0" borderId="0" xfId="18" applyNumberFormat="1" applyFont="1" applyFill="1" applyBorder="1" applyAlignment="1" applyProtection="1"/>
    <xf numFmtId="0" fontId="58" fillId="0" borderId="0" xfId="18" applyNumberFormat="1" applyFont="1" applyFill="1" applyBorder="1" applyAlignment="1" applyProtection="1">
      <alignment horizontal="right"/>
    </xf>
    <xf numFmtId="166" fontId="58" fillId="0" borderId="31" xfId="18" applyNumberFormat="1" applyFont="1" applyFill="1" applyBorder="1" applyAlignment="1" applyProtection="1"/>
    <xf numFmtId="166" fontId="44" fillId="0" borderId="32" xfId="18" applyNumberFormat="1" applyFont="1" applyFill="1" applyBorder="1" applyAlignment="1" applyProtection="1"/>
    <xf numFmtId="0" fontId="58" fillId="0" borderId="33" xfId="18" applyNumberFormat="1" applyFont="1" applyFill="1" applyBorder="1" applyAlignment="1" applyProtection="1">
      <alignment horizontal="right"/>
    </xf>
    <xf numFmtId="0" fontId="44" fillId="0" borderId="19" xfId="18" applyNumberFormat="1" applyFont="1" applyFill="1" applyBorder="1" applyAlignment="1" applyProtection="1"/>
    <xf numFmtId="0" fontId="44" fillId="0" borderId="20" xfId="18" applyNumberFormat="1" applyFont="1" applyFill="1" applyBorder="1" applyAlignment="1" applyProtection="1"/>
    <xf numFmtId="166" fontId="58" fillId="0" borderId="0" xfId="18" applyNumberFormat="1" applyFont="1" applyFill="1" applyBorder="1" applyAlignment="1" applyProtection="1"/>
    <xf numFmtId="0" fontId="44" fillId="0" borderId="0" xfId="18" applyNumberFormat="1" applyFont="1" applyFill="1" applyBorder="1" applyAlignment="1" applyProtection="1">
      <alignment horizontal="right"/>
    </xf>
    <xf numFmtId="0" fontId="48" fillId="0" borderId="0" xfId="18" applyNumberFormat="1" applyFont="1" applyFill="1" applyBorder="1" applyAlignment="1" applyProtection="1">
      <alignment horizontal="right"/>
    </xf>
    <xf numFmtId="0" fontId="45" fillId="22" borderId="34" xfId="18" applyNumberFormat="1" applyFont="1" applyFill="1" applyBorder="1" applyAlignment="1" applyProtection="1"/>
    <xf numFmtId="0" fontId="45" fillId="22" borderId="14" xfId="18" applyNumberFormat="1" applyFont="1" applyFill="1" applyBorder="1" applyAlignment="1" applyProtection="1"/>
    <xf numFmtId="0" fontId="49" fillId="22" borderId="14" xfId="18" applyNumberFormat="1" applyFont="1" applyFill="1" applyBorder="1" applyAlignment="1" applyProtection="1">
      <alignment vertical="center"/>
    </xf>
    <xf numFmtId="0" fontId="42" fillId="26" borderId="0" xfId="18" applyFont="1" applyFill="1" applyBorder="1"/>
    <xf numFmtId="166" fontId="48" fillId="0" borderId="0" xfId="18" applyNumberFormat="1" applyFont="1" applyFill="1" applyBorder="1" applyAlignment="1" applyProtection="1">
      <alignment horizontal="right"/>
    </xf>
    <xf numFmtId="166" fontId="58" fillId="0" borderId="31" xfId="18" applyNumberFormat="1" applyFont="1" applyFill="1" applyBorder="1" applyAlignment="1" applyProtection="1">
      <alignment horizontal="right"/>
    </xf>
    <xf numFmtId="0" fontId="44" fillId="0" borderId="19" xfId="18" applyNumberFormat="1" applyFont="1" applyFill="1" applyBorder="1" applyAlignment="1" applyProtection="1">
      <alignment horizontal="right"/>
    </xf>
    <xf numFmtId="0" fontId="44" fillId="0" borderId="20" xfId="18" applyNumberFormat="1" applyFont="1" applyFill="1" applyBorder="1" applyAlignment="1" applyProtection="1">
      <alignment horizontal="right"/>
    </xf>
    <xf numFmtId="166" fontId="58" fillId="0" borderId="0" xfId="18" applyNumberFormat="1" applyFont="1" applyFill="1" applyBorder="1" applyAlignment="1" applyProtection="1">
      <alignment horizontal="right"/>
    </xf>
    <xf numFmtId="0" fontId="45" fillId="27" borderId="0" xfId="18" applyNumberFormat="1" applyFont="1" applyFill="1" applyBorder="1" applyAlignment="1" applyProtection="1"/>
    <xf numFmtId="0" fontId="49" fillId="22" borderId="13" xfId="18" applyNumberFormat="1" applyFont="1" applyFill="1" applyBorder="1" applyAlignment="1" applyProtection="1">
      <alignment vertical="center"/>
    </xf>
    <xf numFmtId="0" fontId="49" fillId="22" borderId="34" xfId="18" applyNumberFormat="1" applyFont="1" applyFill="1" applyBorder="1" applyAlignment="1" applyProtection="1">
      <alignment vertical="center"/>
    </xf>
    <xf numFmtId="0" fontId="44" fillId="0" borderId="0" xfId="18" applyNumberFormat="1" applyFont="1" applyFill="1" applyBorder="1" applyAlignment="1" applyProtection="1">
      <alignment horizontal="center"/>
    </xf>
    <xf numFmtId="0" fontId="42" fillId="25" borderId="0" xfId="18" applyFont="1" applyFill="1" applyBorder="1"/>
    <xf numFmtId="0" fontId="59" fillId="25" borderId="0" xfId="18" applyFont="1" applyFill="1" applyBorder="1" applyAlignment="1">
      <alignment horizontal="left" vertical="center"/>
    </xf>
    <xf numFmtId="0" fontId="53" fillId="25" borderId="0" xfId="18" applyFont="1" applyFill="1" applyBorder="1" applyAlignment="1">
      <alignment horizontal="left" vertical="center"/>
    </xf>
    <xf numFmtId="0" fontId="56" fillId="0" borderId="27" xfId="18" applyFont="1" applyBorder="1" applyAlignment="1"/>
    <xf numFmtId="0" fontId="47" fillId="23" borderId="0" xfId="18" applyFont="1" applyFill="1"/>
    <xf numFmtId="166" fontId="60" fillId="21" borderId="28" xfId="18" applyNumberFormat="1" applyFont="1" applyFill="1" applyBorder="1" applyAlignment="1" applyProtection="1">
      <alignment vertical="center"/>
    </xf>
    <xf numFmtId="0" fontId="61" fillId="20" borderId="14" xfId="18" applyNumberFormat="1" applyFont="1" applyFill="1" applyBorder="1" applyAlignment="1" applyProtection="1"/>
    <xf numFmtId="0" fontId="46" fillId="22" borderId="35" xfId="18" applyNumberFormat="1" applyFont="1" applyFill="1" applyBorder="1" applyAlignment="1" applyProtection="1">
      <alignment horizontal="center" vertical="center" wrapText="1"/>
    </xf>
    <xf numFmtId="0" fontId="58" fillId="0" borderId="0" xfId="18" applyNumberFormat="1" applyFont="1" applyFill="1" applyBorder="1" applyAlignment="1" applyProtection="1"/>
    <xf numFmtId="166" fontId="58" fillId="0" borderId="19" xfId="18" applyNumberFormat="1" applyFont="1" applyFill="1" applyBorder="1" applyAlignment="1" applyProtection="1"/>
    <xf numFmtId="166" fontId="58" fillId="0" borderId="20" xfId="18" applyNumberFormat="1" applyFont="1" applyFill="1" applyBorder="1" applyAlignment="1" applyProtection="1"/>
    <xf numFmtId="0" fontId="58" fillId="0" borderId="36" xfId="18" applyNumberFormat="1" applyFont="1" applyFill="1" applyBorder="1" applyAlignment="1" applyProtection="1"/>
    <xf numFmtId="166" fontId="58" fillId="0" borderId="22" xfId="18" applyNumberFormat="1" applyFont="1" applyFill="1" applyBorder="1" applyAlignment="1" applyProtection="1"/>
    <xf numFmtId="0" fontId="49" fillId="22" borderId="15" xfId="18" applyNumberFormat="1" applyFont="1" applyFill="1" applyBorder="1" applyAlignment="1" applyProtection="1">
      <alignment vertical="center"/>
    </xf>
    <xf numFmtId="0" fontId="62" fillId="22" borderId="37" xfId="18" applyNumberFormat="1" applyFont="1" applyFill="1" applyBorder="1" applyAlignment="1" applyProtection="1">
      <alignment horizontal="right" vertical="center"/>
    </xf>
    <xf numFmtId="0" fontId="62" fillId="22" borderId="14" xfId="18" applyNumberFormat="1" applyFont="1" applyFill="1" applyBorder="1" applyAlignment="1" applyProtection="1">
      <alignment horizontal="right" vertical="center"/>
    </xf>
    <xf numFmtId="0" fontId="63" fillId="22" borderId="15" xfId="18" applyNumberFormat="1" applyFont="1" applyFill="1" applyBorder="1" applyAlignment="1" applyProtection="1"/>
    <xf numFmtId="0" fontId="59" fillId="25" borderId="0" xfId="18" applyFont="1" applyFill="1" applyAlignment="1">
      <alignment horizontal="left" vertical="center"/>
    </xf>
    <xf numFmtId="0" fontId="42" fillId="26" borderId="27" xfId="18" applyFont="1" applyFill="1" applyBorder="1"/>
    <xf numFmtId="0" fontId="41" fillId="26" borderId="27" xfId="18" applyFill="1" applyBorder="1" applyAlignment="1">
      <alignment vertical="center"/>
    </xf>
    <xf numFmtId="0" fontId="64" fillId="0" borderId="0" xfId="19" applyFill="1">
      <alignment vertical="center"/>
    </xf>
    <xf numFmtId="0" fontId="64" fillId="0" borderId="0" xfId="19" applyFont="1" applyFill="1" applyBorder="1">
      <alignment vertical="center"/>
    </xf>
    <xf numFmtId="167" fontId="64" fillId="0" borderId="0" xfId="19" applyNumberFormat="1" applyFont="1" applyFill="1" applyBorder="1">
      <alignment vertical="center"/>
    </xf>
    <xf numFmtId="0" fontId="64" fillId="0" borderId="0" xfId="19" applyFont="1" applyFill="1" applyBorder="1" applyAlignment="1">
      <alignment horizontal="left" vertical="center" indent="1"/>
    </xf>
    <xf numFmtId="0" fontId="13" fillId="0" borderId="0" xfId="20" applyFill="1"/>
    <xf numFmtId="0" fontId="64" fillId="0" borderId="0" xfId="19">
      <alignment vertical="center"/>
    </xf>
    <xf numFmtId="0" fontId="64" fillId="0" borderId="0" xfId="19" applyFont="1" applyFill="1" applyBorder="1" applyAlignment="1">
      <alignment vertical="center"/>
    </xf>
    <xf numFmtId="167" fontId="64" fillId="0" borderId="0" xfId="19" applyNumberFormat="1" applyFont="1" applyFill="1" applyBorder="1" applyAlignment="1">
      <alignment vertical="center"/>
    </xf>
    <xf numFmtId="0" fontId="65" fillId="0" borderId="0" xfId="21" applyFill="1" applyBorder="1" applyAlignment="1">
      <alignment horizontal="right" vertical="center"/>
    </xf>
    <xf numFmtId="0" fontId="65" fillId="0" borderId="0" xfId="21" applyFill="1" applyBorder="1" applyAlignment="1">
      <alignment vertical="center"/>
    </xf>
    <xf numFmtId="0" fontId="64" fillId="0" borderId="0" xfId="19" applyAlignment="1">
      <alignment horizontal="center"/>
    </xf>
    <xf numFmtId="0" fontId="64" fillId="0" borderId="0" xfId="19" applyFill="1" applyAlignment="1">
      <alignment horizontal="left" vertical="center" indent="1"/>
    </xf>
    <xf numFmtId="0" fontId="13" fillId="0" borderId="0" xfId="20" applyFill="1" applyAlignment="1">
      <alignment horizontal="left" vertical="center" indent="1"/>
    </xf>
    <xf numFmtId="0" fontId="64" fillId="0" borderId="0" xfId="19" applyAlignment="1">
      <alignment horizontal="left" vertical="center" indent="1"/>
    </xf>
    <xf numFmtId="0" fontId="64" fillId="0" borderId="0" xfId="19" applyFill="1" applyAlignment="1">
      <alignment vertical="center"/>
    </xf>
    <xf numFmtId="0" fontId="0" fillId="0" borderId="0" xfId="20" applyFont="1" applyFill="1" applyBorder="1" applyAlignment="1">
      <alignment vertical="center"/>
    </xf>
    <xf numFmtId="167" fontId="0" fillId="0" borderId="0" xfId="20" applyNumberFormat="1" applyFont="1" applyFill="1" applyBorder="1" applyAlignment="1">
      <alignment vertical="center"/>
    </xf>
    <xf numFmtId="0" fontId="13" fillId="0" borderId="0" xfId="20" applyFill="1" applyAlignment="1">
      <alignment vertical="center"/>
    </xf>
    <xf numFmtId="0" fontId="66" fillId="0" borderId="0" xfId="19" applyFont="1" applyFill="1" applyAlignment="1">
      <alignment vertical="center"/>
    </xf>
    <xf numFmtId="0" fontId="65" fillId="0" borderId="0" xfId="21" applyAlignment="1">
      <alignment vertical="center"/>
    </xf>
    <xf numFmtId="0" fontId="67" fillId="0" borderId="0" xfId="20" applyFont="1" applyFill="1" applyAlignment="1">
      <alignment vertical="center"/>
    </xf>
    <xf numFmtId="0" fontId="68" fillId="0" borderId="0" xfId="19" applyFont="1" applyFill="1" applyAlignment="1">
      <alignment horizontal="left"/>
    </xf>
    <xf numFmtId="0" fontId="68" fillId="0" borderId="0" xfId="19" applyFont="1" applyFill="1" applyAlignment="1">
      <alignment horizontal="right"/>
    </xf>
    <xf numFmtId="0" fontId="69" fillId="0" borderId="0" xfId="22" applyFont="1" applyFill="1" applyBorder="1" applyAlignment="1">
      <alignment horizontal="left"/>
    </xf>
    <xf numFmtId="10" fontId="13" fillId="0" borderId="0" xfId="7" applyNumberFormat="1"/>
    <xf numFmtId="166" fontId="13" fillId="0" borderId="0" xfId="7" applyNumberFormat="1"/>
    <xf numFmtId="166" fontId="13" fillId="0" borderId="0" xfId="7" applyNumberFormat="1" applyFont="1" applyFill="1" applyBorder="1"/>
    <xf numFmtId="0" fontId="13" fillId="0" borderId="0" xfId="7" applyFont="1" applyFill="1" applyBorder="1"/>
    <xf numFmtId="0" fontId="70" fillId="0" borderId="1" xfId="23"/>
    <xf numFmtId="0" fontId="71" fillId="0" borderId="0" xfId="18" applyFont="1"/>
    <xf numFmtId="0" fontId="71" fillId="4" borderId="0" xfId="18" applyFont="1" applyFill="1"/>
    <xf numFmtId="0" fontId="71" fillId="0" borderId="0" xfId="18" applyFont="1" applyAlignment="1" applyProtection="1">
      <alignment wrapText="1"/>
      <protection locked="0"/>
    </xf>
    <xf numFmtId="0" fontId="71" fillId="0" borderId="0" xfId="18" applyFont="1" applyProtection="1">
      <protection locked="0"/>
    </xf>
    <xf numFmtId="0" fontId="71" fillId="4" borderId="0" xfId="18" applyFont="1" applyFill="1" applyAlignment="1" applyProtection="1">
      <alignment wrapText="1"/>
      <protection locked="0"/>
    </xf>
    <xf numFmtId="0" fontId="72" fillId="0" borderId="0" xfId="18" applyFont="1" applyAlignment="1" applyProtection="1">
      <alignment wrapText="1"/>
      <protection locked="0"/>
    </xf>
    <xf numFmtId="0" fontId="73" fillId="4" borderId="0" xfId="18" applyFont="1" applyFill="1" applyAlignment="1" applyProtection="1">
      <alignment wrapText="1"/>
      <protection locked="0"/>
    </xf>
    <xf numFmtId="0" fontId="71" fillId="0" borderId="38" xfId="18" applyFont="1" applyBorder="1" applyProtection="1">
      <protection locked="0"/>
    </xf>
    <xf numFmtId="0" fontId="71" fillId="0" borderId="0" xfId="18" applyFont="1" applyBorder="1" applyProtection="1">
      <protection locked="0"/>
    </xf>
    <xf numFmtId="0" fontId="71" fillId="0" borderId="0" xfId="18" applyFont="1" applyBorder="1" applyAlignment="1" applyProtection="1">
      <protection locked="0"/>
    </xf>
    <xf numFmtId="0" fontId="71" fillId="0" borderId="39" xfId="18" applyFont="1" applyBorder="1" applyAlignment="1" applyProtection="1">
      <protection locked="0"/>
    </xf>
    <xf numFmtId="0" fontId="71" fillId="0" borderId="40" xfId="18" applyFont="1" applyBorder="1" applyAlignment="1" applyProtection="1">
      <protection locked="0"/>
    </xf>
    <xf numFmtId="0" fontId="71" fillId="0" borderId="41" xfId="18" applyFont="1" applyBorder="1" applyAlignment="1" applyProtection="1">
      <protection locked="0"/>
    </xf>
    <xf numFmtId="0" fontId="71" fillId="0" borderId="42" xfId="18" applyFont="1" applyBorder="1" applyAlignment="1" applyProtection="1">
      <protection locked="0"/>
    </xf>
    <xf numFmtId="0" fontId="71" fillId="0" borderId="43" xfId="18" applyFont="1" applyBorder="1" applyAlignment="1" applyProtection="1">
      <protection locked="0"/>
    </xf>
    <xf numFmtId="0" fontId="71" fillId="0" borderId="44" xfId="18" applyFont="1" applyBorder="1" applyAlignment="1" applyProtection="1">
      <protection locked="0"/>
    </xf>
    <xf numFmtId="0" fontId="71" fillId="0" borderId="45" xfId="18" applyFont="1" applyBorder="1" applyAlignment="1" applyProtection="1">
      <protection locked="0"/>
    </xf>
    <xf numFmtId="0" fontId="24" fillId="0" borderId="46" xfId="18" applyFont="1" applyBorder="1" applyAlignment="1" applyProtection="1">
      <protection locked="0"/>
    </xf>
    <xf numFmtId="0" fontId="74" fillId="0" borderId="47" xfId="18" applyFont="1" applyBorder="1" applyAlignment="1" applyProtection="1">
      <protection locked="0"/>
    </xf>
    <xf numFmtId="0" fontId="24" fillId="0" borderId="48" xfId="18" applyFont="1" applyBorder="1" applyAlignment="1" applyProtection="1">
      <protection locked="0"/>
    </xf>
    <xf numFmtId="0" fontId="74" fillId="0" borderId="49" xfId="18" applyFont="1" applyBorder="1" applyAlignment="1" applyProtection="1">
      <protection locked="0"/>
    </xf>
    <xf numFmtId="169" fontId="71" fillId="28" borderId="50" xfId="18" applyNumberFormat="1" applyFont="1" applyFill="1" applyBorder="1" applyProtection="1"/>
    <xf numFmtId="0" fontId="71" fillId="0" borderId="0" xfId="18" applyFont="1" applyAlignment="1" applyProtection="1">
      <protection locked="0"/>
    </xf>
    <xf numFmtId="0" fontId="75" fillId="0" borderId="0" xfId="18" applyFont="1" applyAlignment="1" applyProtection="1">
      <alignment horizontal="right"/>
      <protection locked="0"/>
    </xf>
    <xf numFmtId="170" fontId="71" fillId="0" borderId="0" xfId="18" applyNumberFormat="1" applyFont="1" applyBorder="1" applyProtection="1">
      <protection locked="0"/>
    </xf>
    <xf numFmtId="169" fontId="71" fillId="28" borderId="38" xfId="18" applyNumberFormat="1" applyFont="1" applyFill="1" applyBorder="1" applyProtection="1"/>
    <xf numFmtId="0" fontId="75" fillId="0" borderId="38" xfId="18" applyFont="1" applyBorder="1" applyAlignment="1" applyProtection="1">
      <alignment horizontal="right"/>
      <protection locked="0"/>
    </xf>
    <xf numFmtId="170" fontId="71" fillId="29" borderId="0" xfId="18" applyNumberFormat="1" applyFont="1" applyFill="1" applyAlignment="1" applyProtection="1"/>
    <xf numFmtId="169" fontId="71" fillId="0" borderId="0" xfId="18" applyNumberFormat="1" applyFont="1" applyFill="1" applyAlignment="1" applyProtection="1">
      <protection locked="0"/>
    </xf>
    <xf numFmtId="169" fontId="71" fillId="0" borderId="0" xfId="18" applyNumberFormat="1" applyFont="1" applyFill="1" applyAlignment="1" applyProtection="1">
      <alignment horizontal="right"/>
      <protection locked="0"/>
    </xf>
    <xf numFmtId="0" fontId="71" fillId="0" borderId="0" xfId="18" applyFont="1" applyFill="1" applyAlignment="1" applyProtection="1">
      <alignment horizontal="left" wrapText="1"/>
      <protection locked="0"/>
    </xf>
    <xf numFmtId="0" fontId="71" fillId="0" borderId="0" xfId="18" applyFont="1" applyFill="1" applyAlignment="1" applyProtection="1">
      <alignment horizontal="left"/>
      <protection locked="0"/>
    </xf>
    <xf numFmtId="170" fontId="71" fillId="0" borderId="0" xfId="18" applyNumberFormat="1" applyFont="1" applyFill="1" applyBorder="1" applyAlignment="1" applyProtection="1"/>
    <xf numFmtId="170" fontId="71" fillId="0" borderId="0" xfId="18" applyNumberFormat="1" applyFont="1" applyFill="1" applyBorder="1" applyAlignment="1" applyProtection="1">
      <protection locked="0"/>
    </xf>
    <xf numFmtId="170" fontId="71" fillId="0" borderId="0" xfId="18" applyNumberFormat="1" applyFont="1" applyFill="1" applyBorder="1" applyAlignment="1" applyProtection="1">
      <alignment horizontal="right"/>
      <protection locked="0"/>
    </xf>
    <xf numFmtId="0" fontId="71" fillId="0" borderId="0" xfId="18" applyFont="1" applyFill="1" applyBorder="1" applyAlignment="1" applyProtection="1">
      <alignment horizontal="left" wrapText="1"/>
      <protection locked="0"/>
    </xf>
    <xf numFmtId="0" fontId="71" fillId="0" borderId="0" xfId="18" applyFont="1" applyFill="1" applyBorder="1" applyAlignment="1" applyProtection="1">
      <alignment horizontal="left"/>
      <protection locked="0"/>
    </xf>
    <xf numFmtId="14" fontId="71" fillId="0" borderId="0" xfId="18" applyNumberFormat="1" applyFont="1" applyFill="1" applyBorder="1" applyAlignment="1" applyProtection="1">
      <alignment horizontal="left"/>
      <protection locked="0"/>
    </xf>
    <xf numFmtId="169" fontId="71" fillId="0" borderId="0" xfId="18" applyNumberFormat="1" applyFont="1" applyFill="1" applyBorder="1" applyAlignment="1" applyProtection="1"/>
    <xf numFmtId="169" fontId="71" fillId="0" borderId="0" xfId="18" applyNumberFormat="1" applyFont="1" applyFill="1" applyBorder="1" applyAlignment="1" applyProtection="1">
      <protection locked="0"/>
    </xf>
    <xf numFmtId="169" fontId="71" fillId="0" borderId="0" xfId="18" applyNumberFormat="1" applyFont="1" applyFill="1" applyBorder="1" applyAlignment="1" applyProtection="1">
      <alignment horizontal="right"/>
      <protection locked="0"/>
    </xf>
    <xf numFmtId="0" fontId="71" fillId="0" borderId="0" xfId="18" applyFont="1" applyAlignment="1"/>
    <xf numFmtId="0" fontId="76" fillId="0" borderId="0" xfId="18" applyFont="1" applyFill="1" applyBorder="1" applyAlignment="1" applyProtection="1">
      <alignment horizontal="center"/>
      <protection locked="0"/>
    </xf>
    <xf numFmtId="0" fontId="71" fillId="0" borderId="0" xfId="18" applyFont="1" applyBorder="1" applyAlignment="1" applyProtection="1">
      <protection locked="0"/>
    </xf>
    <xf numFmtId="0" fontId="20" fillId="0" borderId="0" xfId="18" applyFont="1" applyBorder="1" applyProtection="1">
      <protection locked="0"/>
    </xf>
    <xf numFmtId="49" fontId="71" fillId="0" borderId="0" xfId="18" applyNumberFormat="1" applyFont="1" applyBorder="1" applyAlignment="1" applyProtection="1">
      <protection locked="0"/>
    </xf>
    <xf numFmtId="0" fontId="71" fillId="0" borderId="38" xfId="18" applyFont="1" applyBorder="1" applyAlignment="1" applyProtection="1">
      <protection locked="0"/>
    </xf>
    <xf numFmtId="49" fontId="71" fillId="0" borderId="50" xfId="18" applyNumberFormat="1" applyFont="1" applyBorder="1" applyAlignment="1" applyProtection="1">
      <protection locked="0"/>
    </xf>
    <xf numFmtId="171" fontId="71" fillId="4" borderId="51" xfId="18" applyNumberFormat="1" applyFont="1" applyFill="1" applyBorder="1" applyAlignment="1" applyProtection="1"/>
    <xf numFmtId="0" fontId="20" fillId="0" borderId="52" xfId="18" applyFont="1" applyBorder="1" applyProtection="1">
      <protection locked="0"/>
    </xf>
    <xf numFmtId="0" fontId="71" fillId="0" borderId="50" xfId="18" applyFont="1" applyBorder="1" applyAlignment="1" applyProtection="1">
      <protection locked="0"/>
    </xf>
    <xf numFmtId="0" fontId="20" fillId="0" borderId="0" xfId="18" applyFont="1" applyBorder="1" applyAlignment="1" applyProtection="1">
      <alignment horizontal="right"/>
      <protection locked="0"/>
    </xf>
    <xf numFmtId="0" fontId="41" fillId="0" borderId="50" xfId="18" applyBorder="1" applyAlignment="1"/>
    <xf numFmtId="1" fontId="71" fillId="0" borderId="50" xfId="18" applyNumberFormat="1" applyFont="1" applyBorder="1" applyAlignment="1" applyProtection="1">
      <alignment horizontal="left"/>
      <protection locked="0"/>
    </xf>
    <xf numFmtId="171" fontId="71" fillId="4" borderId="53" xfId="18" applyNumberFormat="1" applyFont="1" applyFill="1" applyBorder="1" applyAlignment="1" applyProtection="1"/>
    <xf numFmtId="0" fontId="20" fillId="0" borderId="54" xfId="18" applyFont="1" applyBorder="1" applyProtection="1">
      <protection locked="0"/>
    </xf>
    <xf numFmtId="0" fontId="71" fillId="0" borderId="31" xfId="18" applyFont="1" applyBorder="1" applyAlignment="1" applyProtection="1">
      <protection locked="0"/>
    </xf>
    <xf numFmtId="0" fontId="74" fillId="0" borderId="0" xfId="18" applyFont="1" applyBorder="1" applyProtection="1">
      <protection locked="0"/>
    </xf>
    <xf numFmtId="0" fontId="74" fillId="0" borderId="0" xfId="18" applyFont="1" applyBorder="1" applyAlignment="1" applyProtection="1">
      <alignment vertical="center"/>
      <protection locked="0"/>
    </xf>
    <xf numFmtId="0" fontId="71" fillId="26" borderId="0" xfId="18" applyFont="1" applyFill="1" applyBorder="1" applyProtection="1">
      <protection locked="0"/>
    </xf>
    <xf numFmtId="0" fontId="77" fillId="0" borderId="0" xfId="18" applyFont="1" applyAlignment="1"/>
    <xf numFmtId="0" fontId="78" fillId="0" borderId="0" xfId="18" applyFont="1" applyBorder="1" applyAlignment="1" applyProtection="1">
      <protection locked="0"/>
    </xf>
    <xf numFmtId="0" fontId="71" fillId="26" borderId="0" xfId="18" applyFont="1" applyFill="1" applyProtection="1">
      <protection locked="0"/>
    </xf>
    <xf numFmtId="0" fontId="71" fillId="0" borderId="55" xfId="18" applyFont="1" applyBorder="1" applyProtection="1">
      <protection locked="0"/>
    </xf>
    <xf numFmtId="0" fontId="71" fillId="0" borderId="56" xfId="18" applyFont="1" applyBorder="1" applyProtection="1">
      <protection locked="0"/>
    </xf>
    <xf numFmtId="0" fontId="79" fillId="0" borderId="56" xfId="18" applyFont="1" applyBorder="1" applyAlignment="1"/>
    <xf numFmtId="0" fontId="71" fillId="0" borderId="57" xfId="18" applyFont="1" applyBorder="1" applyAlignment="1" applyProtection="1">
      <protection locked="0"/>
    </xf>
    <xf numFmtId="0" fontId="80" fillId="0" borderId="0" xfId="2" applyFont="1" applyFill="1" applyBorder="1"/>
    <xf numFmtId="0" fontId="80" fillId="0" borderId="0" xfId="2" applyFont="1" applyFill="1" applyBorder="1" applyAlignment="1">
      <alignment horizontal="right"/>
    </xf>
    <xf numFmtId="0" fontId="81" fillId="0" borderId="0" xfId="2" applyFont="1" applyFill="1" applyBorder="1"/>
    <xf numFmtId="4" fontId="82" fillId="30" borderId="0" xfId="2" applyNumberFormat="1" applyFont="1" applyFill="1" applyBorder="1"/>
    <xf numFmtId="0" fontId="83" fillId="30" borderId="0" xfId="2" applyFont="1" applyFill="1" applyBorder="1" applyAlignment="1"/>
    <xf numFmtId="4" fontId="82" fillId="30" borderId="0" xfId="2" applyNumberFormat="1" applyFont="1" applyFill="1" applyBorder="1" applyAlignment="1">
      <alignment horizontal="right"/>
    </xf>
    <xf numFmtId="4" fontId="84" fillId="0" borderId="0" xfId="2" applyNumberFormat="1" applyFont="1" applyFill="1" applyBorder="1" applyAlignment="1">
      <alignment horizontal="right"/>
    </xf>
    <xf numFmtId="4" fontId="84" fillId="10" borderId="58" xfId="2" applyNumberFormat="1" applyFont="1" applyFill="1" applyBorder="1" applyAlignment="1">
      <alignment horizontal="right" vertical="center"/>
    </xf>
    <xf numFmtId="0" fontId="84" fillId="10" borderId="58" xfId="2" applyFont="1" applyFill="1" applyBorder="1" applyAlignment="1">
      <alignment horizontal="right" vertical="center"/>
    </xf>
    <xf numFmtId="0" fontId="84" fillId="10" borderId="58" xfId="2" applyFont="1" applyFill="1" applyBorder="1" applyAlignment="1">
      <alignment horizontal="left" vertical="center"/>
    </xf>
    <xf numFmtId="4" fontId="80" fillId="30" borderId="0" xfId="2" applyNumberFormat="1" applyFont="1" applyFill="1" applyBorder="1"/>
    <xf numFmtId="0" fontId="80" fillId="30" borderId="0" xfId="2" applyFont="1" applyFill="1" applyBorder="1"/>
    <xf numFmtId="4" fontId="80" fillId="30" borderId="0" xfId="2" applyNumberFormat="1" applyFont="1" applyFill="1" applyBorder="1" applyAlignment="1">
      <alignment horizontal="right"/>
    </xf>
    <xf numFmtId="2" fontId="80" fillId="0" borderId="0" xfId="2" applyNumberFormat="1" applyFont="1" applyFill="1" applyBorder="1" applyAlignment="1">
      <alignment horizontal="right"/>
    </xf>
    <xf numFmtId="0" fontId="81" fillId="0" borderId="0" xfId="2" applyFont="1" applyFill="1" applyBorder="1" applyAlignment="1"/>
    <xf numFmtId="4" fontId="83" fillId="30" borderId="0" xfId="2" applyNumberFormat="1" applyFont="1" applyFill="1" applyBorder="1" applyAlignment="1"/>
    <xf numFmtId="4" fontId="83" fillId="30" borderId="0" xfId="2" applyNumberFormat="1" applyFont="1" applyFill="1" applyBorder="1" applyAlignment="1">
      <alignment horizontal="right"/>
    </xf>
    <xf numFmtId="4" fontId="85" fillId="31" borderId="59" xfId="24" applyNumberFormat="1">
      <alignment vertical="center"/>
    </xf>
    <xf numFmtId="0" fontId="85" fillId="31" borderId="59" xfId="24">
      <alignment vertical="center"/>
    </xf>
    <xf numFmtId="0" fontId="85" fillId="31" borderId="59" xfId="24" applyAlignment="1">
      <alignment vertical="center"/>
    </xf>
    <xf numFmtId="0" fontId="86" fillId="0" borderId="0" xfId="2" applyFont="1" applyFill="1" applyBorder="1"/>
    <xf numFmtId="4" fontId="86" fillId="30" borderId="60" xfId="2" applyNumberFormat="1" applyFont="1" applyFill="1" applyBorder="1"/>
    <xf numFmtId="0" fontId="87" fillId="30" borderId="60" xfId="2" applyFont="1" applyFill="1" applyBorder="1"/>
    <xf numFmtId="4" fontId="86" fillId="30" borderId="60" xfId="2" applyNumberFormat="1" applyFont="1" applyFill="1" applyBorder="1" applyAlignment="1">
      <alignment horizontal="right"/>
    </xf>
    <xf numFmtId="0" fontId="86" fillId="0" borderId="0" xfId="2" applyFont="1" applyFill="1" applyBorder="1" applyAlignment="1">
      <alignment horizontal="right"/>
    </xf>
    <xf numFmtId="0" fontId="86" fillId="0" borderId="60" xfId="2" applyFont="1" applyFill="1" applyBorder="1" applyAlignment="1">
      <alignment horizontal="right"/>
    </xf>
    <xf numFmtId="0" fontId="86" fillId="4" borderId="60" xfId="2" applyFont="1" applyFill="1" applyBorder="1" applyAlignment="1">
      <alignment horizontal="right"/>
    </xf>
    <xf numFmtId="0" fontId="86" fillId="0" borderId="60" xfId="2" applyFont="1" applyFill="1" applyBorder="1" applyAlignment="1">
      <alignment horizontal="left"/>
    </xf>
    <xf numFmtId="4" fontId="86" fillId="30" borderId="61" xfId="2" applyNumberFormat="1" applyFont="1" applyFill="1" applyBorder="1"/>
    <xf numFmtId="0" fontId="86" fillId="30" borderId="61" xfId="2" applyFont="1" applyFill="1" applyBorder="1"/>
    <xf numFmtId="4" fontId="86" fillId="30" borderId="61" xfId="2" applyNumberFormat="1" applyFont="1" applyFill="1" applyBorder="1" applyAlignment="1">
      <alignment horizontal="right"/>
    </xf>
    <xf numFmtId="4" fontId="86" fillId="0" borderId="0" xfId="2" applyNumberFormat="1" applyFont="1" applyFill="1" applyBorder="1" applyAlignment="1">
      <alignment horizontal="right"/>
    </xf>
    <xf numFmtId="4" fontId="86" fillId="0" borderId="61" xfId="2" applyNumberFormat="1" applyFont="1" applyFill="1" applyBorder="1" applyAlignment="1">
      <alignment horizontal="right"/>
    </xf>
    <xf numFmtId="0" fontId="86" fillId="4" borderId="61" xfId="2" applyFont="1" applyFill="1" applyBorder="1" applyAlignment="1">
      <alignment horizontal="right"/>
    </xf>
    <xf numFmtId="0" fontId="86" fillId="0" borderId="61" xfId="2" applyFont="1" applyFill="1" applyBorder="1" applyAlignment="1">
      <alignment horizontal="left"/>
    </xf>
    <xf numFmtId="4" fontId="86" fillId="30" borderId="62" xfId="2" applyNumberFormat="1" applyFont="1" applyFill="1" applyBorder="1"/>
    <xf numFmtId="0" fontId="87" fillId="30" borderId="62" xfId="2" applyFont="1" applyFill="1" applyBorder="1"/>
    <xf numFmtId="4" fontId="86" fillId="30" borderId="62" xfId="2" applyNumberFormat="1" applyFont="1" applyFill="1" applyBorder="1" applyAlignment="1">
      <alignment horizontal="right"/>
    </xf>
    <xf numFmtId="0" fontId="86" fillId="0" borderId="63" xfId="2" applyFont="1" applyFill="1" applyBorder="1" applyAlignment="1">
      <alignment horizontal="right"/>
    </xf>
    <xf numFmtId="0" fontId="86" fillId="4" borderId="63" xfId="2" applyFont="1" applyFill="1" applyBorder="1" applyAlignment="1">
      <alignment horizontal="right"/>
    </xf>
    <xf numFmtId="0" fontId="86" fillId="0" borderId="63" xfId="2" applyFont="1" applyFill="1" applyBorder="1" applyAlignment="1">
      <alignment horizontal="left"/>
    </xf>
    <xf numFmtId="0" fontId="88" fillId="0" borderId="0" xfId="2" applyFont="1" applyFill="1" applyBorder="1"/>
    <xf numFmtId="4" fontId="89" fillId="30" borderId="64" xfId="2" applyNumberFormat="1" applyFont="1" applyFill="1" applyBorder="1"/>
    <xf numFmtId="0" fontId="90" fillId="30" borderId="64" xfId="2" applyFont="1" applyFill="1" applyBorder="1"/>
    <xf numFmtId="4" fontId="89" fillId="30" borderId="64" xfId="2" applyNumberFormat="1" applyFont="1" applyFill="1" applyBorder="1" applyAlignment="1">
      <alignment horizontal="right"/>
    </xf>
    <xf numFmtId="9" fontId="91" fillId="0" borderId="0" xfId="2" applyNumberFormat="1" applyFont="1" applyFill="1" applyBorder="1" applyAlignment="1">
      <alignment horizontal="right"/>
    </xf>
    <xf numFmtId="9" fontId="91" fillId="4" borderId="64" xfId="2" applyNumberFormat="1" applyFont="1" applyFill="1" applyBorder="1" applyAlignment="1">
      <alignment horizontal="right" vertical="center"/>
    </xf>
    <xf numFmtId="0" fontId="92" fillId="4" borderId="64" xfId="2" applyFont="1" applyFill="1" applyBorder="1" applyAlignment="1">
      <alignment horizontal="right" vertical="center"/>
    </xf>
    <xf numFmtId="0" fontId="93" fillId="0" borderId="65" xfId="25" applyFill="1" applyBorder="1" applyAlignment="1">
      <alignment vertical="center"/>
    </xf>
    <xf numFmtId="4" fontId="86" fillId="30" borderId="63" xfId="2" applyNumberFormat="1" applyFont="1" applyFill="1" applyBorder="1"/>
    <xf numFmtId="0" fontId="87" fillId="30" borderId="63" xfId="2" applyFont="1" applyFill="1" applyBorder="1"/>
    <xf numFmtId="4" fontId="86" fillId="30" borderId="63" xfId="2" applyNumberFormat="1" applyFont="1" applyFill="1" applyBorder="1" applyAlignment="1">
      <alignment horizontal="right"/>
    </xf>
    <xf numFmtId="0" fontId="93" fillId="4" borderId="64" xfId="25" applyFill="1" applyBorder="1" applyAlignment="1">
      <alignment vertical="center"/>
    </xf>
    <xf numFmtId="0" fontId="93" fillId="0" borderId="64" xfId="25" applyFill="1" applyBorder="1" applyAlignment="1"/>
    <xf numFmtId="10" fontId="86" fillId="0" borderId="60" xfId="2" applyNumberFormat="1" applyFont="1" applyFill="1" applyBorder="1" applyAlignment="1">
      <alignment horizontal="right"/>
    </xf>
    <xf numFmtId="9" fontId="91" fillId="0" borderId="64" xfId="2" applyNumberFormat="1" applyFont="1" applyFill="1" applyBorder="1" applyAlignment="1">
      <alignment horizontal="right" vertical="center"/>
    </xf>
    <xf numFmtId="4" fontId="86" fillId="4" borderId="61" xfId="2" applyNumberFormat="1" applyFont="1" applyFill="1" applyBorder="1" applyAlignment="1">
      <alignment horizontal="right"/>
    </xf>
    <xf numFmtId="10" fontId="86" fillId="0" borderId="61" xfId="2" applyNumberFormat="1" applyFont="1" applyFill="1" applyBorder="1" applyAlignment="1">
      <alignment horizontal="right"/>
    </xf>
    <xf numFmtId="0" fontId="85" fillId="31" borderId="66" xfId="24" applyBorder="1" applyAlignment="1">
      <alignment vertical="center"/>
    </xf>
    <xf numFmtId="0" fontId="94" fillId="0" borderId="0" xfId="2" applyFont="1" applyFill="1" applyBorder="1" applyAlignment="1"/>
    <xf numFmtId="0" fontId="95" fillId="30" borderId="0" xfId="2" applyFont="1" applyFill="1" applyBorder="1" applyAlignment="1"/>
    <xf numFmtId="4" fontId="95" fillId="0" borderId="0" xfId="2" applyNumberFormat="1" applyFont="1" applyFill="1" applyBorder="1" applyAlignment="1">
      <alignment horizontal="right"/>
    </xf>
    <xf numFmtId="4" fontId="96" fillId="30" borderId="67" xfId="26" applyNumberFormat="1">
      <alignment vertical="center"/>
    </xf>
    <xf numFmtId="0" fontId="96" fillId="30" borderId="67" xfId="26">
      <alignment vertical="center"/>
    </xf>
    <xf numFmtId="0" fontId="96" fillId="30" borderId="67" xfId="26" applyAlignment="1">
      <alignment vertical="center"/>
    </xf>
    <xf numFmtId="0" fontId="86" fillId="0" borderId="61" xfId="2" applyFont="1" applyFill="1" applyBorder="1" applyAlignment="1">
      <alignment horizontal="left" indent="1"/>
    </xf>
    <xf numFmtId="0" fontId="87" fillId="30" borderId="61" xfId="2" applyFont="1" applyFill="1" applyBorder="1"/>
    <xf numFmtId="0" fontId="86" fillId="0" borderId="61" xfId="2" applyFont="1" applyFill="1" applyBorder="1" applyAlignment="1">
      <alignment horizontal="right"/>
    </xf>
    <xf numFmtId="0" fontId="86" fillId="0" borderId="68" xfId="2" applyFont="1" applyFill="1" applyBorder="1" applyAlignment="1">
      <alignment horizontal="right"/>
    </xf>
    <xf numFmtId="9" fontId="86" fillId="0" borderId="62" xfId="2" applyNumberFormat="1" applyFont="1" applyFill="1" applyBorder="1" applyAlignment="1">
      <alignment horizontal="right"/>
    </xf>
    <xf numFmtId="0" fontId="86" fillId="4" borderId="62" xfId="2" applyFont="1" applyFill="1" applyBorder="1" applyAlignment="1">
      <alignment horizontal="right"/>
    </xf>
    <xf numFmtId="0" fontId="86" fillId="0" borderId="62" xfId="2" applyFont="1" applyFill="1" applyBorder="1" applyAlignment="1">
      <alignment horizontal="left"/>
    </xf>
    <xf numFmtId="0" fontId="86" fillId="0" borderId="60" xfId="2" applyFont="1" applyFill="1" applyBorder="1" applyAlignment="1">
      <alignment horizontal="left" indent="1"/>
    </xf>
    <xf numFmtId="0" fontId="86" fillId="4" borderId="68" xfId="2" applyFont="1" applyFill="1" applyBorder="1" applyAlignment="1">
      <alignment horizontal="right"/>
    </xf>
    <xf numFmtId="4" fontId="96" fillId="30" borderId="67" xfId="26" applyNumberFormat="1" applyBorder="1" applyAlignment="1">
      <alignment horizontal="right" vertical="center"/>
    </xf>
    <xf numFmtId="0" fontId="96" fillId="30" borderId="67" xfId="26" applyBorder="1" applyAlignment="1">
      <alignment horizontal="right" vertical="center"/>
    </xf>
    <xf numFmtId="0" fontId="96" fillId="30" borderId="67" xfId="26" applyBorder="1" applyAlignment="1">
      <alignment vertical="center"/>
    </xf>
    <xf numFmtId="9" fontId="86" fillId="0" borderId="63" xfId="2" applyNumberFormat="1" applyFont="1" applyFill="1" applyBorder="1" applyAlignment="1">
      <alignment horizontal="right"/>
    </xf>
    <xf numFmtId="0" fontId="80" fillId="0" borderId="0" xfId="2" applyFont="1" applyFill="1" applyBorder="1" applyAlignment="1"/>
    <xf numFmtId="4" fontId="97" fillId="30" borderId="0" xfId="2" applyNumberFormat="1" applyFont="1" applyFill="1" applyBorder="1" applyAlignment="1"/>
    <xf numFmtId="0" fontId="97" fillId="30" borderId="0" xfId="2" applyFont="1" applyFill="1" applyBorder="1" applyAlignment="1"/>
    <xf numFmtId="4" fontId="97" fillId="30" borderId="0" xfId="2" applyNumberFormat="1" applyFont="1" applyFill="1" applyBorder="1" applyAlignment="1">
      <alignment horizontal="right"/>
    </xf>
    <xf numFmtId="4" fontId="85" fillId="0" borderId="0" xfId="2" applyNumberFormat="1" applyFont="1" applyFill="1" applyBorder="1" applyAlignment="1">
      <alignment horizontal="right"/>
    </xf>
    <xf numFmtId="0" fontId="86" fillId="30" borderId="60" xfId="2" applyFont="1" applyFill="1" applyBorder="1"/>
    <xf numFmtId="4" fontId="86" fillId="4" borderId="60" xfId="2" applyNumberFormat="1" applyFont="1" applyFill="1" applyBorder="1" applyAlignment="1">
      <alignment horizontal="right"/>
    </xf>
    <xf numFmtId="0" fontId="93" fillId="0" borderId="64" xfId="25" applyFill="1" applyBorder="1" applyAlignment="1">
      <alignment vertical="center"/>
    </xf>
    <xf numFmtId="0" fontId="96" fillId="0" borderId="0" xfId="2" applyFont="1" applyFill="1" applyBorder="1"/>
    <xf numFmtId="3" fontId="96" fillId="30" borderId="0" xfId="2" applyNumberFormat="1" applyFont="1" applyFill="1" applyBorder="1"/>
    <xf numFmtId="0" fontId="96" fillId="30" borderId="0" xfId="2" applyFont="1" applyFill="1" applyBorder="1"/>
    <xf numFmtId="3" fontId="96" fillId="30" borderId="0" xfId="2" applyNumberFormat="1" applyFont="1" applyFill="1" applyBorder="1" applyAlignment="1">
      <alignment horizontal="right"/>
    </xf>
    <xf numFmtId="3" fontId="96" fillId="0" borderId="0" xfId="2" applyNumberFormat="1" applyFont="1" applyFill="1" applyBorder="1" applyAlignment="1">
      <alignment horizontal="right"/>
    </xf>
    <xf numFmtId="0" fontId="96" fillId="4" borderId="0" xfId="2" applyFont="1" applyFill="1" applyBorder="1" applyAlignment="1">
      <alignment horizontal="right"/>
    </xf>
    <xf numFmtId="2" fontId="86" fillId="30" borderId="69" xfId="2" applyNumberFormat="1" applyFont="1" applyFill="1" applyBorder="1" applyAlignment="1">
      <alignment horizontal="center"/>
    </xf>
    <xf numFmtId="0" fontId="86" fillId="30" borderId="69" xfId="2" applyFont="1" applyFill="1" applyBorder="1"/>
    <xf numFmtId="2" fontId="98" fillId="30" borderId="69" xfId="2" applyNumberFormat="1" applyFont="1" applyFill="1" applyBorder="1" applyAlignment="1">
      <alignment horizontal="right"/>
    </xf>
    <xf numFmtId="0" fontId="86" fillId="0" borderId="70" xfId="2" applyFont="1" applyFill="1" applyBorder="1" applyAlignment="1">
      <alignment horizontal="right"/>
    </xf>
    <xf numFmtId="0" fontId="86" fillId="30" borderId="69" xfId="2" applyFont="1" applyFill="1" applyBorder="1" applyAlignment="1">
      <alignment horizontal="right"/>
    </xf>
    <xf numFmtId="0" fontId="86" fillId="30" borderId="69" xfId="2" applyFont="1" applyFill="1" applyBorder="1" applyAlignment="1">
      <alignment horizontal="center"/>
    </xf>
    <xf numFmtId="0" fontId="86" fillId="30" borderId="69" xfId="2" applyFont="1" applyFill="1" applyBorder="1" applyAlignment="1">
      <alignment horizontal="left"/>
    </xf>
    <xf numFmtId="2" fontId="80" fillId="0" borderId="0" xfId="2" applyNumberFormat="1" applyFont="1" applyFill="1" applyBorder="1"/>
    <xf numFmtId="0" fontId="99" fillId="0" borderId="0" xfId="27" applyFill="1" applyBorder="1" applyAlignment="1">
      <alignment horizontal="left" vertical="center"/>
    </xf>
  </cellXfs>
  <cellStyles count="28">
    <cellStyle name="20% - Accent1 2" xfId="20"/>
    <cellStyle name="Activity" xfId="12"/>
    <cellStyle name="Heading 1 2" xfId="4"/>
    <cellStyle name="Heading 1 3" xfId="8"/>
    <cellStyle name="Heading 1 4" xfId="15"/>
    <cellStyle name="Heading 1 5" xfId="21"/>
    <cellStyle name="Heading 1 6" xfId="23"/>
    <cellStyle name="Heading 1 7" xfId="25"/>
    <cellStyle name="Heading 2 2" xfId="3"/>
    <cellStyle name="Heading 2 3" xfId="24"/>
    <cellStyle name="Heading 3 2" xfId="6"/>
    <cellStyle name="Heading 3 3" xfId="26"/>
    <cellStyle name="Heading 4 2" xfId="5"/>
    <cellStyle name="Label" xfId="16"/>
    <cellStyle name="Normal" xfId="0" builtinId="0"/>
    <cellStyle name="Normal 2" xfId="1"/>
    <cellStyle name="Normal 3" xfId="2"/>
    <cellStyle name="Normal 4" xfId="7"/>
    <cellStyle name="Normal 5" xfId="10"/>
    <cellStyle name="Normal 6" xfId="18"/>
    <cellStyle name="Normal 7" xfId="19"/>
    <cellStyle name="Percent Complete" xfId="11"/>
    <cellStyle name="Period Headers" xfId="13"/>
    <cellStyle name="Period Highlight Control" xfId="17"/>
    <cellStyle name="Project Headers" xfId="14"/>
    <cellStyle name="Title 2" xfId="9"/>
    <cellStyle name="Title 3" xfId="22"/>
    <cellStyle name="Title 4" xfId="27"/>
  </cellStyles>
  <dxfs count="444">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ont>
        <color theme="0"/>
      </font>
      <fill>
        <patternFill>
          <bgColor theme="4"/>
        </patternFill>
      </fill>
    </dxf>
    <dxf>
      <font>
        <color theme="0"/>
      </font>
      <fill>
        <patternFill>
          <bgColor theme="5"/>
        </patternFill>
      </fill>
    </dxf>
    <dxf>
      <font>
        <color theme="0"/>
      </font>
      <fill>
        <patternFill>
          <bgColor theme="6"/>
        </patternFill>
      </fill>
    </dxf>
    <dxf>
      <font>
        <color theme="0"/>
      </font>
      <fill>
        <patternFill>
          <bgColor theme="7"/>
        </patternFill>
      </fill>
    </dxf>
    <dxf>
      <font>
        <color theme="0"/>
      </font>
      <fill>
        <patternFill>
          <bgColor theme="8"/>
        </patternFill>
      </fill>
    </dxf>
    <dxf>
      <font>
        <color theme="0"/>
      </font>
      <fill>
        <patternFill>
          <bgColor theme="4"/>
        </patternFill>
      </fill>
    </dxf>
    <dxf>
      <font>
        <color theme="0"/>
      </font>
      <fill>
        <patternFill>
          <bgColor theme="5"/>
        </patternFill>
      </fill>
    </dxf>
    <dxf>
      <font>
        <color theme="0"/>
      </font>
      <fill>
        <patternFill>
          <bgColor theme="6"/>
        </patternFill>
      </fill>
    </dxf>
    <dxf>
      <font>
        <color theme="0"/>
      </font>
      <fill>
        <patternFill>
          <bgColor theme="7"/>
        </patternFill>
      </fill>
    </dxf>
    <dxf>
      <font>
        <color theme="0"/>
      </font>
      <fill>
        <patternFill>
          <bgColor theme="8"/>
        </patternFill>
      </fill>
    </dxf>
    <dxf>
      <font>
        <color theme="0"/>
      </font>
      <border>
        <vertical/>
        <horizontal/>
      </border>
    </dxf>
    <dxf>
      <font>
        <color theme="3"/>
      </font>
      <border>
        <vertical/>
        <horizontal/>
      </border>
    </dxf>
    <dxf>
      <font>
        <b val="0"/>
        <i val="0"/>
        <strike val="0"/>
        <condense val="0"/>
        <extend val="0"/>
        <outline val="0"/>
        <shadow val="0"/>
        <u val="none"/>
        <vertAlign val="baseline"/>
        <sz val="10"/>
        <color auto="1"/>
        <name val="Calibri"/>
        <scheme val="minor"/>
      </font>
      <numFmt numFmtId="170" formatCode="_(* #,##0.00_);_(* \(#,##0.00\);_(* &quot;-&quot;??_);_(@_)"/>
      <fill>
        <patternFill patternType="solid">
          <fgColor indexed="64"/>
          <bgColor theme="1" tint="0.499984740745262"/>
        </patternFill>
      </fill>
      <alignment horizontal="general" vertical="bottom" textRotation="0" wrapText="0" relativeIndent="0" justifyLastLine="0" shrinkToFit="0" readingOrder="0"/>
      <protection locked="1" hidden="0"/>
    </dxf>
    <dxf>
      <font>
        <b val="0"/>
        <i val="0"/>
        <strike val="0"/>
        <condense val="0"/>
        <extend val="0"/>
        <outline val="0"/>
        <shadow val="0"/>
        <u val="none"/>
        <vertAlign val="baseline"/>
        <sz val="10"/>
        <color auto="1"/>
        <name val="Calibri"/>
        <scheme val="minor"/>
      </font>
      <numFmt numFmtId="170" formatCode="_(* #,##0.00_);_(* \(#,##0.00\);_(* &quot;-&quot;??_);_(@_)"/>
      <fill>
        <patternFill patternType="none">
          <fgColor indexed="64"/>
          <bgColor indexed="65"/>
        </patternFill>
      </fill>
      <alignment horizontal="general" vertical="bottom" textRotation="0" wrapText="0" relativeIndent="0" justifyLastLine="0" shrinkToFit="0" readingOrder="0"/>
      <protection locked="0" hidden="0"/>
    </dxf>
    <dxf>
      <font>
        <b val="0"/>
        <i val="0"/>
        <strike val="0"/>
        <condense val="0"/>
        <extend val="0"/>
        <outline val="0"/>
        <shadow val="0"/>
        <u val="none"/>
        <vertAlign val="baseline"/>
        <sz val="10"/>
        <color auto="1"/>
        <name val="Calibri"/>
        <scheme val="minor"/>
      </font>
      <numFmt numFmtId="169" formatCode="_(&quot;$&quot;* #,##0.00_);_(&quot;$&quot;* \(#,##0.00\);_(&quot;$&quot;* &quot;-&quot;??_);_(@_)"/>
      <fill>
        <patternFill patternType="none">
          <fgColor indexed="64"/>
          <bgColor indexed="65"/>
        </patternFill>
      </fill>
      <alignment horizontal="general" vertical="bottom" textRotation="0" wrapText="0" relativeIndent="0" justifyLastLine="0" shrinkToFit="0" readingOrder="0"/>
      <protection locked="0" hidden="0"/>
    </dxf>
    <dxf>
      <font>
        <b val="0"/>
        <i val="0"/>
        <strike val="0"/>
        <condense val="0"/>
        <extend val="0"/>
        <outline val="0"/>
        <shadow val="0"/>
        <u val="none"/>
        <vertAlign val="baseline"/>
        <sz val="10"/>
        <color auto="1"/>
        <name val="Calibri"/>
        <scheme val="minor"/>
      </font>
      <numFmt numFmtId="170" formatCode="_(* #,##0.00_);_(* \(#,##0.00\);_(* &quot;-&quot;??_);_(@_)"/>
      <fill>
        <patternFill patternType="none">
          <fgColor indexed="64"/>
          <bgColor indexed="65"/>
        </patternFill>
      </fill>
      <alignment horizontal="general" vertical="bottom" textRotation="0" wrapText="0" relativeIndent="0" justifyLastLine="0" shrinkToFit="0" readingOrder="0"/>
      <protection locked="0" hidden="0"/>
    </dxf>
    <dxf>
      <font>
        <b val="0"/>
        <i val="0"/>
        <strike val="0"/>
        <condense val="0"/>
        <extend val="0"/>
        <outline val="0"/>
        <shadow val="0"/>
        <u val="none"/>
        <vertAlign val="baseline"/>
        <sz val="10"/>
        <color auto="1"/>
        <name val="Calibri"/>
        <scheme val="minor"/>
      </font>
      <numFmt numFmtId="169" formatCode="_(&quot;$&quot;* #,##0.00_);_(&quot;$&quot;* \(#,##0.00\);_(&quot;$&quot;* &quot;-&quot;??_);_(@_)"/>
      <fill>
        <patternFill patternType="none">
          <fgColor indexed="64"/>
          <bgColor indexed="65"/>
        </patternFill>
      </fill>
      <alignment horizontal="general" vertical="bottom" textRotation="0" wrapText="0" relativeIndent="0" justifyLastLine="0" shrinkToFit="0" readingOrder="0"/>
      <protection locked="0" hidden="0"/>
    </dxf>
    <dxf>
      <font>
        <b val="0"/>
        <i val="0"/>
        <strike val="0"/>
        <condense val="0"/>
        <extend val="0"/>
        <outline val="0"/>
        <shadow val="0"/>
        <u val="none"/>
        <vertAlign val="baseline"/>
        <sz val="10"/>
        <color auto="1"/>
        <name val="Calibri"/>
        <scheme val="minor"/>
      </font>
      <numFmt numFmtId="170" formatCode="_(* #,##0.00_);_(* \(#,##0.00\);_(* &quot;-&quot;??_);_(@_)"/>
      <fill>
        <patternFill patternType="none">
          <fgColor indexed="64"/>
          <bgColor indexed="65"/>
        </patternFill>
      </fill>
      <alignment horizontal="general" vertical="bottom" textRotation="0" wrapText="0" relativeIndent="0" justifyLastLine="0" shrinkToFit="0" readingOrder="0"/>
      <protection locked="0" hidden="0"/>
    </dxf>
    <dxf>
      <font>
        <b val="0"/>
        <i val="0"/>
        <strike val="0"/>
        <condense val="0"/>
        <extend val="0"/>
        <outline val="0"/>
        <shadow val="0"/>
        <u val="none"/>
        <vertAlign val="baseline"/>
        <sz val="10"/>
        <color auto="1"/>
        <name val="Calibri"/>
        <scheme val="minor"/>
      </font>
      <numFmt numFmtId="169" formatCode="_(&quot;$&quot;* #,##0.00_);_(&quot;$&quot;* \(#,##0.00\);_(&quot;$&quot;* &quot;-&quot;??_);_(@_)"/>
      <fill>
        <patternFill patternType="none">
          <fgColor indexed="64"/>
          <bgColor indexed="65"/>
        </patternFill>
      </fill>
      <alignment horizontal="general" vertical="bottom" textRotation="0" wrapText="0" relativeIndent="0" justifyLastLine="0" shrinkToFit="0" readingOrder="0"/>
      <protection locked="0" hidden="0"/>
    </dxf>
    <dxf>
      <font>
        <b val="0"/>
        <i val="0"/>
        <strike val="0"/>
        <condense val="0"/>
        <extend val="0"/>
        <outline val="0"/>
        <shadow val="0"/>
        <u val="none"/>
        <vertAlign val="baseline"/>
        <sz val="10"/>
        <color auto="1"/>
        <name val="Calibri"/>
        <scheme val="minor"/>
      </font>
      <numFmt numFmtId="170" formatCode="_(* #,##0.00_);_(* \(#,##0.00\);_(* &quot;-&quot;??_);_(@_)"/>
      <fill>
        <patternFill patternType="none">
          <fgColor indexed="64"/>
          <bgColor indexed="65"/>
        </patternFill>
      </fill>
      <alignment horizontal="general" vertical="bottom" textRotation="0" wrapText="0" relativeIndent="0" justifyLastLine="0" shrinkToFit="0" readingOrder="0"/>
      <protection locked="0" hidden="0"/>
    </dxf>
    <dxf>
      <font>
        <b val="0"/>
        <i val="0"/>
        <strike val="0"/>
        <condense val="0"/>
        <extend val="0"/>
        <outline val="0"/>
        <shadow val="0"/>
        <u val="none"/>
        <vertAlign val="baseline"/>
        <sz val="10"/>
        <color auto="1"/>
        <name val="Calibri"/>
        <scheme val="minor"/>
      </font>
      <numFmt numFmtId="169" formatCode="_(&quot;$&quot;* #,##0.00_);_(&quot;$&quot;* \(#,##0.00\);_(&quot;$&quot;* &quot;-&quot;??_);_(@_)"/>
      <fill>
        <patternFill patternType="none">
          <fgColor indexed="64"/>
          <bgColor indexed="65"/>
        </patternFill>
      </fill>
      <alignment horizontal="general" vertical="bottom" textRotation="0" wrapText="0" relativeIndent="0" justifyLastLine="0" shrinkToFit="0" readingOrder="0"/>
      <protection locked="0" hidden="0"/>
    </dxf>
    <dxf>
      <font>
        <b val="0"/>
        <i val="0"/>
        <strike val="0"/>
        <condense val="0"/>
        <extend val="0"/>
        <outline val="0"/>
        <shadow val="0"/>
        <u val="none"/>
        <vertAlign val="baseline"/>
        <sz val="10"/>
        <color auto="1"/>
        <name val="Calibri"/>
        <scheme val="minor"/>
      </font>
      <numFmt numFmtId="170" formatCode="_(* #,##0.00_);_(* \(#,##0.00\);_(* &quot;-&quot;??_);_(@_)"/>
      <fill>
        <patternFill patternType="none">
          <fgColor indexed="64"/>
          <bgColor indexed="65"/>
        </patternFill>
      </fill>
      <alignment horizontal="right" vertical="bottom" textRotation="0" wrapText="0" relativeIndent="0" justifyLastLine="0" shrinkToFit="0" readingOrder="0"/>
      <protection locked="0" hidden="0"/>
    </dxf>
    <dxf>
      <font>
        <b val="0"/>
        <i val="0"/>
        <strike val="0"/>
        <condense val="0"/>
        <extend val="0"/>
        <outline val="0"/>
        <shadow val="0"/>
        <u val="none"/>
        <vertAlign val="baseline"/>
        <sz val="10"/>
        <color auto="1"/>
        <name val="Calibri"/>
        <scheme val="minor"/>
      </font>
      <numFmt numFmtId="169" formatCode="_(&quot;$&quot;* #,##0.00_);_(&quot;$&quot;* \(#,##0.00\);_(&quot;$&quot;* &quot;-&quot;??_);_(@_)"/>
      <fill>
        <patternFill patternType="none">
          <fgColor indexed="64"/>
          <bgColor indexed="65"/>
        </patternFill>
      </fill>
      <alignment horizontal="right" vertical="bottom" textRotation="0" wrapText="0" relativeIndent="0" justifyLastLine="0" shrinkToFit="0" readingOrder="0"/>
      <protection locked="0" hidden="0"/>
    </dxf>
    <dxf>
      <font>
        <b val="0"/>
        <i val="0"/>
        <strike val="0"/>
        <condense val="0"/>
        <extend val="0"/>
        <outline val="0"/>
        <shadow val="0"/>
        <u val="none"/>
        <vertAlign val="baseline"/>
        <sz val="10"/>
        <color auto="1"/>
        <name val="Calibri"/>
        <scheme val="minor"/>
      </font>
      <numFmt numFmtId="170" formatCode="_(* #,##0.00_);_(* \(#,##0.00\);_(* &quot;-&quot;??_);_(@_)"/>
      <fill>
        <patternFill patternType="none">
          <fgColor indexed="64"/>
          <bgColor indexed="65"/>
        </patternFill>
      </fill>
      <alignment horizontal="general" vertical="bottom" textRotation="0" wrapText="0" relativeIndent="0" justifyLastLine="0" shrinkToFit="0" readingOrder="0"/>
      <protection locked="0" hidden="0"/>
    </dxf>
    <dxf>
      <font>
        <b val="0"/>
        <i val="0"/>
        <strike val="0"/>
        <condense val="0"/>
        <extend val="0"/>
        <outline val="0"/>
        <shadow val="0"/>
        <u val="none"/>
        <vertAlign val="baseline"/>
        <sz val="10"/>
        <color auto="1"/>
        <name val="Calibri"/>
        <scheme val="minor"/>
      </font>
      <numFmt numFmtId="169" formatCode="_(&quot;$&quot;* #,##0.00_);_(&quot;$&quot;* \(#,##0.00\);_(&quot;$&quot;* &quot;-&quot;??_);_(@_)"/>
      <fill>
        <patternFill patternType="none">
          <fgColor indexed="64"/>
          <bgColor indexed="65"/>
        </patternFill>
      </fill>
      <alignment horizontal="general" vertical="bottom" textRotation="0" wrapText="0" relativeIndent="0" justifyLastLine="0" shrinkToFit="0" readingOrder="0"/>
      <protection locked="0" hidden="0"/>
    </dxf>
    <dxf>
      <font>
        <b val="0"/>
        <i val="0"/>
        <strike val="0"/>
        <condense val="0"/>
        <extend val="0"/>
        <outline val="0"/>
        <shadow val="0"/>
        <u val="none"/>
        <vertAlign val="baseline"/>
        <sz val="10"/>
        <color auto="1"/>
        <name val="Calibri"/>
        <scheme val="minor"/>
      </font>
      <numFmt numFmtId="170" formatCode="_(* #,##0.00_);_(* \(#,##0.00\);_(* &quot;-&quot;??_);_(@_)"/>
      <fill>
        <patternFill patternType="none">
          <fgColor indexed="64"/>
          <bgColor indexed="65"/>
        </patternFill>
      </fill>
      <alignment horizontal="general" vertical="bottom" textRotation="0" wrapText="0" relativeIndent="0" justifyLastLine="0" shrinkToFit="0" readingOrder="0"/>
      <protection locked="0" hidden="0"/>
    </dxf>
    <dxf>
      <font>
        <b val="0"/>
        <i val="0"/>
        <strike val="0"/>
        <condense val="0"/>
        <extend val="0"/>
        <outline val="0"/>
        <shadow val="0"/>
        <u val="none"/>
        <vertAlign val="baseline"/>
        <sz val="10"/>
        <color auto="1"/>
        <name val="Calibri"/>
        <scheme val="minor"/>
      </font>
      <numFmt numFmtId="169" formatCode="_(&quot;$&quot;* #,##0.00_);_(&quot;$&quot;* \(#,##0.00\);_(&quot;$&quot;* &quot;-&quot;??_);_(@_)"/>
      <fill>
        <patternFill patternType="none">
          <fgColor indexed="64"/>
          <bgColor indexed="65"/>
        </patternFill>
      </fill>
      <alignment horizontal="general" vertical="bottom" textRotation="0" wrapText="0" relativeIndent="0" justifyLastLine="0" shrinkToFit="0" readingOrder="0"/>
      <protection locked="0" hidden="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bottom" textRotation="0" wrapText="1" relativeIndent="0" justifyLastLine="0" shrinkToFit="0" readingOrder="0"/>
      <protection locked="0" hidden="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bottom" textRotation="0" wrapText="1" relativeIndent="0" justifyLastLine="0" shrinkToFit="0" readingOrder="0"/>
      <protection locked="0" hidden="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bottom" textRotation="0" wrapText="0" relativeIndent="0" justifyLastLine="0" shrinkToFit="0" readingOrder="0"/>
      <protection locked="0" hidden="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bottom" textRotation="0" wrapText="0" relativeIndent="0" justifyLastLine="0" shrinkToFit="0" readingOrder="0"/>
      <protection locked="0" hidden="0"/>
    </dxf>
    <dxf>
      <font>
        <b val="0"/>
        <i val="0"/>
        <strike val="0"/>
        <condense val="0"/>
        <extend val="0"/>
        <outline val="0"/>
        <shadow val="0"/>
        <u val="none"/>
        <vertAlign val="baseline"/>
        <sz val="10"/>
        <color auto="1"/>
        <name val="Calibri"/>
        <scheme val="minor"/>
      </font>
      <numFmt numFmtId="172" formatCode="m/d/yyyy"/>
      <fill>
        <patternFill patternType="none">
          <fgColor indexed="64"/>
          <bgColor indexed="65"/>
        </patternFill>
      </fill>
      <alignment horizontal="left" vertical="bottom" textRotation="0" wrapText="0" relativeIndent="0" justifyLastLine="0" shrinkToFit="0" readingOrder="0"/>
      <protection locked="0" hidden="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bottom" textRotation="0" wrapText="0" relativeIndent="0" justifyLastLine="0" shrinkToFit="0" readingOrder="0"/>
      <protection locked="0" hidden="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general" vertical="bottom" textRotation="0" wrapText="0" relativeIndent="0" justifyLastLine="0" shrinkToFit="0" readingOrder="0"/>
      <border diagonalUp="0" diagonalDown="0" outline="0">
        <left style="thin">
          <color indexed="64"/>
        </left>
        <right style="thin">
          <color indexed="64"/>
        </right>
        <top/>
        <bottom/>
      </border>
      <protection locked="0" hidden="0"/>
    </dxf>
    <dxf>
      <font>
        <b/>
        <i val="0"/>
        <strike val="0"/>
        <condense val="0"/>
        <extend val="0"/>
        <outline val="0"/>
        <shadow val="0"/>
        <u val="none"/>
        <vertAlign val="baseline"/>
        <sz val="9"/>
        <color auto="1"/>
        <name val="Calibri Light"/>
        <scheme val="major"/>
      </font>
      <fill>
        <patternFill patternType="none">
          <fgColor indexed="64"/>
          <bgColor indexed="65"/>
        </patternFill>
      </fill>
      <alignment horizontal="center" vertical="bottom" textRotation="0" wrapText="0" relativeIndent="0" justifyLastLine="0" shrinkToFit="0" readingOrder="0"/>
      <border diagonalUp="0" diagonalDown="0" outline="0">
        <left style="thin">
          <color indexed="64"/>
        </left>
        <right style="thin">
          <color indexed="64"/>
        </right>
        <top/>
        <bottom/>
      </border>
      <protection locked="0" hidden="0"/>
    </dxf>
    <dxf>
      <numFmt numFmtId="14" formatCode="0.00%"/>
    </dxf>
    <dxf>
      <numFmt numFmtId="14" formatCode="0.00%"/>
    </dxf>
    <dxf>
      <numFmt numFmtId="14" formatCode="0.0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numFmt numFmtId="167" formatCode="&quot;$&quot;#,##0.00_);\(&quot;$&quot;#,##0.0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numFmt numFmtId="167" formatCode="&quot;$&quot;#,##0.00_);\(&quot;$&quot;#,##0.0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numFmt numFmtId="167" formatCode="&quot;$&quot;#,##0.00_);\(&quot;$&quot;#,##0.0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numFmt numFmtId="167" formatCode="&quot;$&quot;#,##0.00_);\(&quot;$&quot;#,##0.0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numFmt numFmtId="167" formatCode="&quot;$&quot;#,##0.00_);\(&quot;$&quot;#,##0.0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numFmt numFmtId="167" formatCode="&quot;$&quot;#,##0.00_);\(&quot;$&quot;#,##0.0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numFmt numFmtId="167" formatCode="&quot;$&quot;#,##0.00_);\(&quot;$&quot;#,##0.0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numFmt numFmtId="167" formatCode="&quot;$&quot;#,##0.00_);\(&quot;$&quot;#,##0.0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numFmt numFmtId="167" formatCode="&quot;$&quot;#,##0.00_);\(&quot;$&quot;#,##0.0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numFmt numFmtId="167" formatCode="&quot;$&quot;#,##0.00_);\(&quot;$&quot;#,##0.0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numFmt numFmtId="167" formatCode="&quot;$&quot;#,##0.00_);\(&quot;$&quot;#,##0.0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numFmt numFmtId="167" formatCode="&quot;$&quot;#,##0.00_);\(&quot;$&quot;#,##0.0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numFmt numFmtId="167" formatCode="&quot;$&quot;#,##0.00_);\(&quot;$&quot;#,##0.0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alignment horizontal="left" vertical="center" textRotation="0" wrapText="0" indent="1"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0" tint="-0.34998626667073579"/>
        <name val="Calibri"/>
        <scheme val="minor"/>
      </font>
      <fill>
        <patternFill patternType="none">
          <fgColor indexed="64"/>
          <bgColor indexed="65"/>
        </patternFill>
      </fill>
      <border diagonalUp="0" diagonalDown="0" outline="0">
        <left/>
        <right/>
        <top/>
        <bottom/>
      </border>
    </dxf>
    <dxf>
      <numFmt numFmtId="167" formatCode="&quot;$&quot;#,##0.00_);\(&quot;$&quot;#,##0.00\)"/>
    </dxf>
    <dxf>
      <font>
        <b val="0"/>
        <i val="0"/>
        <strike val="0"/>
        <condense val="0"/>
        <extend val="0"/>
        <outline val="0"/>
        <shadow val="0"/>
        <u val="none"/>
        <vertAlign val="baseline"/>
        <sz val="10"/>
        <color theme="0" tint="-0.34998626667073579"/>
        <name val="Calibri"/>
        <scheme val="minor"/>
      </font>
      <numFmt numFmtId="167" formatCode="&quot;$&quot;#,##0.00_);\(&quot;$&quot;#,##0.00\)"/>
      <fill>
        <patternFill patternType="none">
          <fgColor indexed="64"/>
          <bgColor indexed="65"/>
        </patternFill>
      </fill>
    </dxf>
    <dxf>
      <numFmt numFmtId="167" formatCode="&quot;$&quot;#,##0.00_);\(&quot;$&quot;#,##0.00\)"/>
    </dxf>
    <dxf>
      <font>
        <b val="0"/>
        <i val="0"/>
        <strike val="0"/>
        <condense val="0"/>
        <extend val="0"/>
        <outline val="0"/>
        <shadow val="0"/>
        <u val="none"/>
        <vertAlign val="baseline"/>
        <sz val="10"/>
        <color theme="0" tint="-0.34998626667073579"/>
        <name val="Calibri"/>
        <scheme val="minor"/>
      </font>
      <numFmt numFmtId="167" formatCode="&quot;$&quot;#,##0.00_);\(&quot;$&quot;#,##0.00\)"/>
      <fill>
        <patternFill patternType="none">
          <fgColor indexed="64"/>
          <bgColor indexed="65"/>
        </patternFill>
      </fill>
    </dxf>
    <dxf>
      <numFmt numFmtId="167" formatCode="&quot;$&quot;#,##0.00_);\(&quot;$&quot;#,##0.00\)"/>
    </dxf>
    <dxf>
      <font>
        <b val="0"/>
        <i val="0"/>
        <strike val="0"/>
        <condense val="0"/>
        <extend val="0"/>
        <outline val="0"/>
        <shadow val="0"/>
        <u val="none"/>
        <vertAlign val="baseline"/>
        <sz val="10"/>
        <color theme="0" tint="-0.34998626667073579"/>
        <name val="Calibri"/>
        <scheme val="minor"/>
      </font>
      <numFmt numFmtId="167" formatCode="&quot;$&quot;#,##0.00_);\(&quot;$&quot;#,##0.00\)"/>
      <fill>
        <patternFill patternType="none">
          <fgColor indexed="64"/>
          <bgColor indexed="65"/>
        </patternFill>
      </fill>
    </dxf>
    <dxf>
      <numFmt numFmtId="167" formatCode="&quot;$&quot;#,##0.00_);\(&quot;$&quot;#,##0.00\)"/>
    </dxf>
    <dxf>
      <font>
        <b val="0"/>
        <i val="0"/>
        <strike val="0"/>
        <condense val="0"/>
        <extend val="0"/>
        <outline val="0"/>
        <shadow val="0"/>
        <u val="none"/>
        <vertAlign val="baseline"/>
        <sz val="10"/>
        <color theme="0" tint="-0.34998626667073579"/>
        <name val="Calibri"/>
        <scheme val="minor"/>
      </font>
      <numFmt numFmtId="167" formatCode="&quot;$&quot;#,##0.00_);\(&quot;$&quot;#,##0.00\)"/>
      <fill>
        <patternFill patternType="none">
          <fgColor indexed="64"/>
          <bgColor indexed="65"/>
        </patternFill>
      </fill>
    </dxf>
    <dxf>
      <numFmt numFmtId="167" formatCode="&quot;$&quot;#,##0.00_);\(&quot;$&quot;#,##0.00\)"/>
    </dxf>
    <dxf>
      <font>
        <b val="0"/>
        <i val="0"/>
        <strike val="0"/>
        <condense val="0"/>
        <extend val="0"/>
        <outline val="0"/>
        <shadow val="0"/>
        <u val="none"/>
        <vertAlign val="baseline"/>
        <sz val="10"/>
        <color theme="0" tint="-0.34998626667073579"/>
        <name val="Calibri"/>
        <scheme val="minor"/>
      </font>
      <numFmt numFmtId="167" formatCode="&quot;$&quot;#,##0.00_);\(&quot;$&quot;#,##0.00\)"/>
      <fill>
        <patternFill patternType="none">
          <fgColor indexed="64"/>
          <bgColor indexed="65"/>
        </patternFill>
      </fill>
    </dxf>
    <dxf>
      <numFmt numFmtId="167" formatCode="&quot;$&quot;#,##0.00_);\(&quot;$&quot;#,##0.00\)"/>
    </dxf>
    <dxf>
      <font>
        <b val="0"/>
        <i val="0"/>
        <strike val="0"/>
        <condense val="0"/>
        <extend val="0"/>
        <outline val="0"/>
        <shadow val="0"/>
        <u val="none"/>
        <vertAlign val="baseline"/>
        <sz val="10"/>
        <color theme="0" tint="-0.34998626667073579"/>
        <name val="Calibri"/>
        <scheme val="minor"/>
      </font>
      <numFmt numFmtId="167" formatCode="&quot;$&quot;#,##0.00_);\(&quot;$&quot;#,##0.00\)"/>
      <fill>
        <patternFill patternType="none">
          <fgColor indexed="64"/>
          <bgColor indexed="65"/>
        </patternFill>
      </fill>
    </dxf>
    <dxf>
      <numFmt numFmtId="167" formatCode="&quot;$&quot;#,##0.00_);\(&quot;$&quot;#,##0.00\)"/>
    </dxf>
    <dxf>
      <font>
        <b val="0"/>
        <i val="0"/>
        <strike val="0"/>
        <condense val="0"/>
        <extend val="0"/>
        <outline val="0"/>
        <shadow val="0"/>
        <u val="none"/>
        <vertAlign val="baseline"/>
        <sz val="10"/>
        <color theme="0" tint="-0.34998626667073579"/>
        <name val="Calibri"/>
        <scheme val="minor"/>
      </font>
      <numFmt numFmtId="167" formatCode="&quot;$&quot;#,##0.00_);\(&quot;$&quot;#,##0.00\)"/>
      <fill>
        <patternFill patternType="none">
          <fgColor indexed="64"/>
          <bgColor indexed="65"/>
        </patternFill>
      </fill>
    </dxf>
    <dxf>
      <numFmt numFmtId="167" formatCode="&quot;$&quot;#,##0.00_);\(&quot;$&quot;#,##0.00\)"/>
    </dxf>
    <dxf>
      <font>
        <b val="0"/>
        <i val="0"/>
        <strike val="0"/>
        <condense val="0"/>
        <extend val="0"/>
        <outline val="0"/>
        <shadow val="0"/>
        <u val="none"/>
        <vertAlign val="baseline"/>
        <sz val="10"/>
        <color theme="0" tint="-0.34998626667073579"/>
        <name val="Calibri"/>
        <scheme val="minor"/>
      </font>
      <numFmt numFmtId="167" formatCode="&quot;$&quot;#,##0.00_);\(&quot;$&quot;#,##0.00\)"/>
      <fill>
        <patternFill patternType="none">
          <fgColor indexed="64"/>
          <bgColor indexed="65"/>
        </patternFill>
      </fill>
    </dxf>
    <dxf>
      <numFmt numFmtId="167" formatCode="&quot;$&quot;#,##0.00_);\(&quot;$&quot;#,##0.00\)"/>
    </dxf>
    <dxf>
      <font>
        <b val="0"/>
        <i val="0"/>
        <strike val="0"/>
        <condense val="0"/>
        <extend val="0"/>
        <outline val="0"/>
        <shadow val="0"/>
        <u val="none"/>
        <vertAlign val="baseline"/>
        <sz val="10"/>
        <color theme="0" tint="-0.34998626667073579"/>
        <name val="Calibri"/>
        <scheme val="minor"/>
      </font>
      <numFmt numFmtId="167" formatCode="&quot;$&quot;#,##0.00_);\(&quot;$&quot;#,##0.00\)"/>
      <fill>
        <patternFill patternType="none">
          <fgColor indexed="64"/>
          <bgColor indexed="65"/>
        </patternFill>
      </fill>
    </dxf>
    <dxf>
      <numFmt numFmtId="167" formatCode="&quot;$&quot;#,##0.00_);\(&quot;$&quot;#,##0.00\)"/>
    </dxf>
    <dxf>
      <font>
        <b val="0"/>
        <i val="0"/>
        <strike val="0"/>
        <condense val="0"/>
        <extend val="0"/>
        <outline val="0"/>
        <shadow val="0"/>
        <u val="none"/>
        <vertAlign val="baseline"/>
        <sz val="10"/>
        <color theme="0" tint="-0.34998626667073579"/>
        <name val="Calibri"/>
        <scheme val="minor"/>
      </font>
      <numFmt numFmtId="167" formatCode="&quot;$&quot;#,##0.00_);\(&quot;$&quot;#,##0.00\)"/>
      <fill>
        <patternFill patternType="none">
          <fgColor indexed="64"/>
          <bgColor indexed="65"/>
        </patternFill>
      </fill>
    </dxf>
    <dxf>
      <numFmt numFmtId="167" formatCode="&quot;$&quot;#,##0.00_);\(&quot;$&quot;#,##0.00\)"/>
    </dxf>
    <dxf>
      <font>
        <b val="0"/>
        <i val="0"/>
        <strike val="0"/>
        <condense val="0"/>
        <extend val="0"/>
        <outline val="0"/>
        <shadow val="0"/>
        <u val="none"/>
        <vertAlign val="baseline"/>
        <sz val="10"/>
        <color theme="0" tint="-0.34998626667073579"/>
        <name val="Calibri"/>
        <scheme val="minor"/>
      </font>
      <numFmt numFmtId="167" formatCode="&quot;$&quot;#,##0.00_);\(&quot;$&quot;#,##0.00\)"/>
      <fill>
        <patternFill patternType="none">
          <fgColor indexed="64"/>
          <bgColor indexed="65"/>
        </patternFill>
      </fill>
    </dxf>
    <dxf>
      <numFmt numFmtId="167" formatCode="&quot;$&quot;#,##0.00_);\(&quot;$&quot;#,##0.00\)"/>
    </dxf>
    <dxf>
      <font>
        <b val="0"/>
        <i val="0"/>
        <strike val="0"/>
        <condense val="0"/>
        <extend val="0"/>
        <outline val="0"/>
        <shadow val="0"/>
        <u val="none"/>
        <vertAlign val="baseline"/>
        <sz val="10"/>
        <color theme="0" tint="-0.34998626667073579"/>
        <name val="Calibri"/>
        <scheme val="minor"/>
      </font>
      <numFmt numFmtId="167" formatCode="&quot;$&quot;#,##0.00_);\(&quot;$&quot;#,##0.00\)"/>
      <fill>
        <patternFill patternType="none">
          <fgColor indexed="64"/>
          <bgColor indexed="65"/>
        </patternFill>
      </fill>
    </dxf>
    <dxf>
      <numFmt numFmtId="167" formatCode="&quot;$&quot;#,##0.00_);\(&quot;$&quot;#,##0.00\)"/>
    </dxf>
    <dxf>
      <font>
        <b val="0"/>
        <i val="0"/>
        <strike val="0"/>
        <condense val="0"/>
        <extend val="0"/>
        <outline val="0"/>
        <shadow val="0"/>
        <u val="none"/>
        <vertAlign val="baseline"/>
        <sz val="10"/>
        <color theme="0" tint="-0.34998626667073579"/>
        <name val="Calibri"/>
        <scheme val="minor"/>
      </font>
      <numFmt numFmtId="167" formatCode="&quot;$&quot;#,##0.00_);\(&quot;$&quot;#,##0.00\)"/>
      <fill>
        <patternFill patternType="none">
          <fgColor indexed="64"/>
          <bgColor indexed="65"/>
        </patternFill>
      </fill>
    </dxf>
    <dxf>
      <alignment horizontal="left" vertical="center" textRotation="0" wrapText="0" indent="1" justifyLastLine="0" shrinkToFit="0" readingOrder="0"/>
    </dxf>
    <dxf>
      <font>
        <b val="0"/>
        <i val="0"/>
        <strike val="0"/>
        <condense val="0"/>
        <extend val="0"/>
        <outline val="0"/>
        <shadow val="0"/>
        <u val="none"/>
        <vertAlign val="baseline"/>
        <sz val="10"/>
        <color theme="0" tint="-0.34998626667073579"/>
        <name val="Calibri"/>
        <scheme val="minor"/>
      </font>
      <fill>
        <patternFill patternType="none">
          <fgColor indexed="64"/>
          <bgColor indexed="65"/>
        </patternFill>
      </fill>
      <alignment horizontal="left" vertical="center" textRotation="0" wrapText="0" relativeIndent="1" justifyLastLine="0" shrinkToFit="0" readingOrder="0"/>
    </dxf>
    <dxf>
      <numFmt numFmtId="167" formatCode="&quot;$&quot;#,##0.00_);\(&quot;$&quot;#,##0.00\)"/>
    </dxf>
    <dxf>
      <numFmt numFmtId="167" formatCode="&quot;$&quot;#,##0.00_);\(&quot;$&quot;#,##0.00\)"/>
    </dxf>
    <dxf>
      <numFmt numFmtId="167" formatCode="&quot;$&quot;#,##0.00_);\(&quot;$&quot;#,##0.00\)"/>
    </dxf>
    <dxf>
      <numFmt numFmtId="167" formatCode="&quot;$&quot;#,##0.00_);\(&quot;$&quot;#,##0.00\)"/>
    </dxf>
    <dxf>
      <numFmt numFmtId="167" formatCode="&quot;$&quot;#,##0.00_);\(&quot;$&quot;#,##0.00\)"/>
    </dxf>
    <dxf>
      <numFmt numFmtId="167" formatCode="&quot;$&quot;#,##0.00_);\(&quot;$&quot;#,##0.00\)"/>
    </dxf>
    <dxf>
      <numFmt numFmtId="167" formatCode="&quot;$&quot;#,##0.00_);\(&quot;$&quot;#,##0.00\)"/>
    </dxf>
    <dxf>
      <numFmt numFmtId="167" formatCode="&quot;$&quot;#,##0.00_);\(&quot;$&quot;#,##0.00\)"/>
    </dxf>
    <dxf>
      <numFmt numFmtId="167" formatCode="&quot;$&quot;#,##0.00_);\(&quot;$&quot;#,##0.00\)"/>
    </dxf>
    <dxf>
      <numFmt numFmtId="167" formatCode="&quot;$&quot;#,##0.00_);\(&quot;$&quot;#,##0.00\)"/>
    </dxf>
    <dxf>
      <numFmt numFmtId="167" formatCode="&quot;$&quot;#,##0.00_);\(&quot;$&quot;#,##0.00\)"/>
    </dxf>
    <dxf>
      <numFmt numFmtId="167" formatCode="&quot;$&quot;#,##0.00_);\(&quot;$&quot;#,##0.00\)"/>
    </dxf>
    <dxf>
      <numFmt numFmtId="167" formatCode="&quot;$&quot;#,##0.00_);\(&quot;$&quot;#,##0.00\)"/>
    </dxf>
    <dxf>
      <alignment horizontal="left" vertical="center" textRotation="0" wrapText="0" relativeIndent="1" justifyLastLine="0" shrinkToFit="0" readingOrder="0"/>
    </dxf>
    <dxf>
      <font>
        <b/>
        <i val="0"/>
        <color theme="6"/>
      </font>
      <fill>
        <patternFill patternType="none">
          <bgColor auto="1"/>
        </patternFill>
      </fill>
      <border>
        <top style="medium">
          <color theme="6"/>
        </top>
        <bottom/>
      </border>
    </dxf>
    <dxf>
      <font>
        <b/>
        <i val="0"/>
        <color theme="1" tint="0.499984740745262"/>
      </font>
      <border>
        <top style="medium">
          <color theme="6"/>
        </top>
        <bottom style="medium">
          <color theme="6"/>
        </bottom>
      </border>
    </dxf>
    <dxf>
      <font>
        <b/>
        <i val="0"/>
        <color theme="0"/>
      </font>
      <fill>
        <patternFill>
          <bgColor theme="6"/>
        </patternFill>
      </fill>
      <border>
        <right style="thick">
          <color theme="0"/>
        </right>
        <top style="thick">
          <color theme="0"/>
        </top>
        <bottom style="thick">
          <color theme="0"/>
        </bottom>
      </border>
    </dxf>
    <dxf>
      <font>
        <b/>
        <i val="0"/>
        <color theme="6"/>
      </font>
      <border>
        <left/>
        <right/>
        <top style="medium">
          <color theme="6"/>
        </top>
        <bottom/>
        <vertical style="thick">
          <color theme="0"/>
        </vertical>
        <horizontal/>
      </border>
    </dxf>
    <dxf>
      <font>
        <b val="0"/>
        <i val="0"/>
        <color theme="1" tint="0.499984740745262"/>
      </font>
      <fill>
        <patternFill patternType="none">
          <fgColor indexed="64"/>
          <bgColor auto="1"/>
        </patternFill>
      </fill>
      <border>
        <top style="medium">
          <color theme="6"/>
        </top>
        <bottom style="thin">
          <color theme="6"/>
        </bottom>
        <vertical style="thick">
          <color theme="0"/>
        </vertical>
      </border>
    </dxf>
    <dxf>
      <font>
        <b val="0"/>
        <i val="0"/>
        <color theme="0" tint="-0.34998626667073579"/>
      </font>
      <border>
        <top style="thick">
          <color theme="0"/>
        </top>
        <bottom style="thick">
          <color theme="0"/>
        </bottom>
        <vertical style="thick">
          <color theme="0"/>
        </vertical>
        <horizontal style="thick">
          <color theme="0"/>
        </horizontal>
      </border>
    </dxf>
    <dxf>
      <font>
        <b/>
        <i val="0"/>
        <color theme="5"/>
      </font>
      <fill>
        <patternFill patternType="none">
          <bgColor auto="1"/>
        </patternFill>
      </fill>
      <border>
        <top style="medium">
          <color theme="5"/>
        </top>
        <bottom/>
      </border>
    </dxf>
    <dxf>
      <font>
        <b/>
        <i val="0"/>
        <color theme="1" tint="0.499984740745262"/>
      </font>
      <border>
        <top style="medium">
          <color theme="5"/>
        </top>
        <bottom style="medium">
          <color theme="5"/>
        </bottom>
      </border>
    </dxf>
    <dxf>
      <font>
        <b/>
        <i val="0"/>
        <color theme="0"/>
      </font>
      <fill>
        <patternFill>
          <bgColor theme="5"/>
        </patternFill>
      </fill>
      <border>
        <right style="thick">
          <color theme="0"/>
        </right>
        <top style="thick">
          <color theme="0"/>
        </top>
        <bottom style="thick">
          <color theme="0"/>
        </bottom>
      </border>
    </dxf>
    <dxf>
      <font>
        <b/>
        <i val="0"/>
        <color theme="5"/>
      </font>
      <border>
        <left/>
        <right/>
        <top style="medium">
          <color theme="5"/>
        </top>
        <bottom/>
        <vertical style="thick">
          <color theme="0"/>
        </vertical>
        <horizontal/>
      </border>
    </dxf>
    <dxf>
      <font>
        <b val="0"/>
        <i val="0"/>
        <color theme="1" tint="0.499984740745262"/>
      </font>
      <fill>
        <patternFill patternType="none">
          <fgColor indexed="64"/>
          <bgColor auto="1"/>
        </patternFill>
      </fill>
      <border>
        <top style="medium">
          <color theme="5"/>
        </top>
        <bottom style="thin">
          <color theme="5"/>
        </bottom>
        <vertical style="thick">
          <color theme="0"/>
        </vertical>
      </border>
    </dxf>
    <dxf>
      <font>
        <b val="0"/>
        <i val="0"/>
        <color theme="0" tint="-0.34998626667073579"/>
      </font>
      <border>
        <top style="thick">
          <color theme="0"/>
        </top>
        <bottom style="thick">
          <color theme="0"/>
        </bottom>
        <vertical style="thick">
          <color theme="0"/>
        </vertical>
        <horizontal style="thick">
          <color theme="0"/>
        </horizontal>
      </border>
    </dxf>
    <dxf>
      <font>
        <b/>
        <i val="0"/>
        <color theme="4"/>
      </font>
      <fill>
        <patternFill patternType="none">
          <bgColor auto="1"/>
        </patternFill>
      </fill>
      <border>
        <top style="medium">
          <color theme="4"/>
        </top>
        <bottom/>
      </border>
    </dxf>
    <dxf>
      <font>
        <b/>
        <i val="0"/>
        <color theme="1" tint="0.499984740745262"/>
      </font>
      <border>
        <top style="medium">
          <color theme="4"/>
        </top>
        <bottom style="medium">
          <color theme="4"/>
        </bottom>
      </border>
    </dxf>
    <dxf>
      <font>
        <b/>
        <i val="0"/>
        <color theme="0"/>
      </font>
      <fill>
        <patternFill>
          <bgColor theme="4"/>
        </patternFill>
      </fill>
      <border>
        <right style="thick">
          <color theme="0"/>
        </right>
        <top style="thick">
          <color theme="0"/>
        </top>
        <bottom style="thick">
          <color theme="0"/>
        </bottom>
      </border>
    </dxf>
    <dxf>
      <border>
        <left/>
        <right/>
        <top style="medium">
          <color theme="4"/>
        </top>
        <bottom/>
        <vertical style="thick">
          <color theme="0"/>
        </vertical>
        <horizontal/>
      </border>
    </dxf>
    <dxf>
      <font>
        <b/>
        <i val="0"/>
        <color theme="1" tint="0.499984740745262"/>
      </font>
      <fill>
        <patternFill patternType="none">
          <fgColor indexed="64"/>
          <bgColor auto="1"/>
        </patternFill>
      </fill>
      <border>
        <top style="medium">
          <color theme="4"/>
        </top>
        <bottom style="thin">
          <color theme="4"/>
        </bottom>
        <vertical style="thick">
          <color theme="0"/>
        </vertical>
      </border>
    </dxf>
    <dxf>
      <font>
        <b val="0"/>
        <i val="0"/>
        <color theme="0" tint="-0.34998626667073579"/>
      </font>
      <border>
        <top style="thick">
          <color theme="0"/>
        </top>
        <bottom style="thick">
          <color theme="0"/>
        </bottom>
        <vertical style="thick">
          <color theme="0"/>
        </vertical>
        <horizontal style="thick">
          <color theme="0"/>
        </horizontal>
      </border>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numFmt numFmtId="30" formatCode="@"/>
      <alignment horizontal="left" vertical="center" textRotation="0" wrapText="1" indent="2"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fill>
        <patternFill patternType="none">
          <bgColor auto="1"/>
        </patternFill>
      </fill>
      <border diagonalUp="0" diagonalDown="0">
        <left/>
        <right/>
        <top style="thin">
          <color theme="0" tint="-0.14996795556505021"/>
        </top>
        <bottom style="medium">
          <color theme="2" tint="-0.499984740745262"/>
        </bottom>
        <vertical/>
        <horizontal/>
      </border>
    </dxf>
    <dxf>
      <font>
        <color theme="1"/>
      </font>
      <fill>
        <patternFill patternType="none">
          <bgColor auto="1"/>
        </patternFill>
      </fill>
      <border diagonalUp="0" diagonalDown="0">
        <left/>
        <right/>
        <top style="thin">
          <color theme="0" tint="-0.14993743705557422"/>
        </top>
        <bottom style="thin">
          <color theme="0" tint="-0.14996795556505021"/>
        </bottom>
        <vertical/>
        <horizontal style="thin">
          <color theme="0" tint="-0.14993743705557422"/>
        </horizontal>
      </border>
    </dxf>
    <dxf>
      <font>
        <color theme="1"/>
      </font>
      <fill>
        <patternFill patternType="solid">
          <bgColor theme="2"/>
        </patternFill>
      </fill>
      <border diagonalUp="0" diagonalDown="0">
        <left/>
        <right/>
        <top/>
        <bottom style="thin">
          <color theme="0" tint="-0.14996795556505021"/>
        </bottom>
        <vertical/>
        <horizontal/>
      </border>
    </dxf>
    <dxf>
      <font>
        <color theme="1"/>
      </font>
      <fill>
        <patternFill patternType="none">
          <bgColor auto="1"/>
        </patternFill>
      </fill>
      <border diagonalUp="0" diagonalDown="0">
        <left/>
        <right/>
        <top style="thin">
          <color theme="0" tint="-0.14996795556505021"/>
        </top>
        <bottom style="thin">
          <color theme="0" tint="-0.14993743705557422"/>
        </bottom>
        <vertical/>
        <horizontal/>
      </border>
    </dxf>
    <dxf>
      <fill>
        <patternFill>
          <bgColor theme="0" tint="-0.14996795556505021"/>
        </patternFill>
      </fill>
      <border>
        <left style="thin">
          <color theme="0"/>
        </left>
        <right style="thin">
          <color theme="0"/>
        </right>
        <vertical style="thin">
          <color theme="0"/>
        </vertical>
      </border>
    </dxf>
    <dxf>
      <fill>
        <patternFill>
          <bgColor theme="0" tint="-4.9989318521683403E-2"/>
        </patternFill>
      </fill>
      <border>
        <left style="thin">
          <color theme="0"/>
        </left>
        <right style="thin">
          <color theme="0"/>
        </right>
        <vertical style="thin">
          <color theme="0"/>
        </vertical>
      </border>
    </dxf>
    <dxf>
      <fill>
        <patternFill>
          <bgColor theme="0" tint="-0.14996795556505021"/>
        </patternFill>
      </fill>
    </dxf>
    <dxf>
      <fill>
        <patternFill patternType="solid">
          <fgColor theme="4" tint="0.79992065187536243"/>
          <bgColor theme="0" tint="-4.9989318521683403E-2"/>
        </patternFill>
      </fill>
    </dxf>
    <dxf>
      <font>
        <color theme="1"/>
      </font>
      <fill>
        <patternFill patternType="none">
          <bgColor auto="1"/>
        </patternFill>
      </fill>
      <border diagonalUp="0" diagonalDown="0">
        <left/>
        <right/>
        <top/>
        <bottom style="thin">
          <color theme="0" tint="-0.14996795556505021"/>
        </bottom>
        <vertical/>
        <horizontal style="thin">
          <color theme="0" tint="-0.14996795556505021"/>
        </horizontal>
      </border>
    </dxf>
    <dxf>
      <font>
        <color theme="1"/>
      </font>
      <fill>
        <patternFill patternType="none">
          <bgColor auto="1"/>
        </patternFill>
      </fill>
      <border>
        <left/>
        <right/>
        <top style="thin">
          <color theme="2" tint="-9.9917600024414813E-2"/>
        </top>
        <bottom style="thin">
          <color theme="2" tint="-9.9948118533890809E-2"/>
        </bottom>
        <vertical/>
        <horizontal style="thin">
          <color theme="2" tint="-9.9917600024414813E-2"/>
        </horizontal>
      </border>
    </dxf>
    <dxf>
      <font>
        <color theme="1"/>
      </font>
      <fill>
        <patternFill>
          <bgColor theme="2" tint="-0.24994659260841701"/>
        </patternFill>
      </fill>
      <border diagonalUp="0" diagonalDown="0">
        <left style="thin">
          <color theme="0"/>
        </left>
        <right style="thin">
          <color theme="0"/>
        </right>
        <top/>
        <bottom style="medium">
          <color theme="2" tint="-0.499984740745262"/>
        </bottom>
        <vertical style="thin">
          <color theme="0"/>
        </vertical>
        <horizontal/>
      </border>
    </dxf>
    <dxf>
      <font>
        <color theme="0"/>
      </font>
      <fill>
        <patternFill>
          <bgColor theme="3"/>
        </patternFill>
      </fill>
    </dxf>
    <dxf>
      <font>
        <color theme="4" tint="-0.249977111117893"/>
      </font>
      <border diagonalUp="0" diagonalDown="0">
        <left/>
        <right/>
        <top/>
        <bottom/>
        <vertical style="thin">
          <color theme="0"/>
        </vertical>
        <horizontal/>
      </border>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numFmt numFmtId="30" formatCode="@"/>
      <alignment horizontal="left" vertical="center" textRotation="0" wrapText="1" indent="2"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fill>
        <patternFill patternType="none">
          <bgColor auto="1"/>
        </patternFill>
      </fill>
      <border diagonalUp="0" diagonalDown="0">
        <left/>
        <right/>
        <top style="thin">
          <color theme="0" tint="-0.14996795556505021"/>
        </top>
        <bottom style="medium">
          <color theme="2" tint="-0.499984740745262"/>
        </bottom>
        <vertical/>
        <horizontal/>
      </border>
    </dxf>
    <dxf>
      <font>
        <color theme="1"/>
      </font>
      <fill>
        <patternFill patternType="none">
          <bgColor auto="1"/>
        </patternFill>
      </fill>
      <border diagonalUp="0" diagonalDown="0">
        <left/>
        <right/>
        <top style="thin">
          <color theme="0" tint="-0.14993743705557422"/>
        </top>
        <bottom style="thin">
          <color theme="0" tint="-0.14996795556505021"/>
        </bottom>
        <vertical/>
        <horizontal style="thin">
          <color theme="0" tint="-0.14993743705557422"/>
        </horizontal>
      </border>
    </dxf>
    <dxf>
      <font>
        <color theme="1"/>
      </font>
      <fill>
        <patternFill patternType="solid">
          <bgColor theme="2"/>
        </patternFill>
      </fill>
      <border diagonalUp="0" diagonalDown="0">
        <left/>
        <right/>
        <top/>
        <bottom style="thin">
          <color theme="0" tint="-0.14996795556505021"/>
        </bottom>
        <vertical/>
        <horizontal/>
      </border>
    </dxf>
    <dxf>
      <font>
        <color theme="1"/>
      </font>
      <fill>
        <patternFill patternType="none">
          <bgColor auto="1"/>
        </patternFill>
      </fill>
      <border diagonalUp="0" diagonalDown="0">
        <left/>
        <right/>
        <top style="thin">
          <color theme="0" tint="-0.14996795556505021"/>
        </top>
        <bottom style="thin">
          <color theme="0" tint="-0.14993743705557422"/>
        </bottom>
        <vertical/>
        <horizontal/>
      </border>
    </dxf>
    <dxf>
      <fill>
        <patternFill>
          <bgColor theme="0" tint="-0.14996795556505021"/>
        </patternFill>
      </fill>
      <border>
        <left style="thin">
          <color theme="0"/>
        </left>
        <right style="thin">
          <color theme="0"/>
        </right>
        <vertical style="thin">
          <color theme="0"/>
        </vertical>
      </border>
    </dxf>
    <dxf>
      <fill>
        <patternFill>
          <bgColor theme="0" tint="-4.9989318521683403E-2"/>
        </patternFill>
      </fill>
      <border>
        <left style="thin">
          <color theme="0"/>
        </left>
        <right style="thin">
          <color theme="0"/>
        </right>
        <vertical style="thin">
          <color theme="0"/>
        </vertical>
      </border>
    </dxf>
    <dxf>
      <fill>
        <patternFill>
          <bgColor theme="0" tint="-0.14996795556505021"/>
        </patternFill>
      </fill>
    </dxf>
    <dxf>
      <fill>
        <patternFill patternType="solid">
          <fgColor theme="4" tint="0.79992065187536243"/>
          <bgColor theme="0" tint="-4.9989318521683403E-2"/>
        </patternFill>
      </fill>
    </dxf>
    <dxf>
      <font>
        <color theme="1"/>
      </font>
      <fill>
        <patternFill patternType="none">
          <bgColor auto="1"/>
        </patternFill>
      </fill>
      <border diagonalUp="0" diagonalDown="0">
        <left/>
        <right/>
        <top/>
        <bottom style="thin">
          <color theme="0" tint="-0.14996795556505021"/>
        </bottom>
        <vertical/>
        <horizontal style="thin">
          <color theme="0" tint="-0.14996795556505021"/>
        </horizontal>
      </border>
    </dxf>
    <dxf>
      <font>
        <color theme="1"/>
      </font>
      <fill>
        <patternFill patternType="none">
          <bgColor auto="1"/>
        </patternFill>
      </fill>
      <border>
        <left/>
        <right/>
        <top style="thin">
          <color theme="2" tint="-9.9917600024414813E-2"/>
        </top>
        <bottom style="thin">
          <color theme="2" tint="-9.9948118533890809E-2"/>
        </bottom>
        <vertical/>
        <horizontal style="thin">
          <color theme="2" tint="-9.9917600024414813E-2"/>
        </horizontal>
      </border>
    </dxf>
    <dxf>
      <font>
        <color theme="1"/>
      </font>
      <fill>
        <patternFill>
          <bgColor theme="2" tint="-0.24994659260841701"/>
        </patternFill>
      </fill>
      <border diagonalUp="0" diagonalDown="0">
        <left style="thin">
          <color theme="0"/>
        </left>
        <right style="thin">
          <color theme="0"/>
        </right>
        <top/>
        <bottom style="medium">
          <color theme="2" tint="-0.499984740745262"/>
        </bottom>
        <vertical style="thin">
          <color theme="0"/>
        </vertical>
        <horizontal/>
      </border>
    </dxf>
    <dxf>
      <font>
        <color theme="0"/>
      </font>
      <fill>
        <patternFill>
          <bgColor theme="3"/>
        </patternFill>
      </fill>
    </dxf>
    <dxf>
      <font>
        <color theme="4" tint="-0.249977111117893"/>
      </font>
      <border diagonalUp="0" diagonalDown="0">
        <left/>
        <right/>
        <top/>
        <bottom/>
        <vertical style="thin">
          <color theme="0"/>
        </vertical>
        <horizontal/>
      </border>
    </dxf>
    <dxf>
      <numFmt numFmtId="164" formatCode="&quot;$&quot;#,##0.00"/>
      <fill>
        <patternFill patternType="solid">
          <fgColor indexed="64"/>
          <bgColor theme="0" tint="-0.14996795556505021"/>
        </patternFill>
      </fill>
    </dxf>
    <dxf>
      <font>
        <b val="0"/>
        <i val="0"/>
        <strike val="0"/>
        <condense val="0"/>
        <extend val="0"/>
        <outline val="0"/>
        <shadow val="0"/>
        <u val="none"/>
        <vertAlign val="baseline"/>
        <sz val="10"/>
        <color theme="1" tint="0.14996795556505021"/>
        <name val="Calibri"/>
        <scheme val="minor"/>
      </font>
      <numFmt numFmtId="164" formatCode="&quot;$&quot;#,##0.00"/>
      <fill>
        <patternFill patternType="none">
          <fgColor indexed="64"/>
          <bgColor indexed="65"/>
        </patternFill>
      </fill>
      <border diagonalUp="0" diagonalDown="0" outline="0">
        <left/>
        <right/>
        <top/>
        <bottom/>
      </border>
    </dxf>
    <dxf>
      <numFmt numFmtId="164" formatCode="&quot;$&quot;#,##0.00"/>
      <fill>
        <patternFill patternType="solid">
          <fgColor indexed="64"/>
          <bgColor theme="0" tint="-0.14996795556505021"/>
        </patternFill>
      </fill>
    </dxf>
    <dxf>
      <font>
        <b val="0"/>
        <i val="0"/>
        <strike val="0"/>
        <condense val="0"/>
        <extend val="0"/>
        <outline val="0"/>
        <shadow val="0"/>
        <u val="none"/>
        <vertAlign val="baseline"/>
        <sz val="10"/>
        <color theme="1" tint="0.14996795556505021"/>
        <name val="Calibri"/>
        <scheme val="minor"/>
      </font>
      <numFmt numFmtId="164" formatCode="&quot;$&quot;#,##0.0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theme="1" tint="0.14996795556505021"/>
        <name val="Calibri"/>
        <scheme val="minor"/>
      </font>
      <fill>
        <patternFill patternType="none">
          <fgColor indexed="64"/>
          <bgColor indexed="65"/>
        </patternFill>
      </fill>
      <border diagonalUp="0" diagonalDown="0" outline="0">
        <left/>
        <right/>
        <top/>
        <bottom/>
      </border>
    </dxf>
    <dxf>
      <alignment horizontal="right" vertical="bottom" textRotation="0" wrapText="0" indent="0" justifyLastLine="0" shrinkToFit="0" readingOrder="0"/>
    </dxf>
    <dxf>
      <font>
        <b val="0"/>
        <i val="0"/>
        <strike val="0"/>
        <condense val="0"/>
        <extend val="0"/>
        <outline val="0"/>
        <shadow val="0"/>
        <u val="none"/>
        <vertAlign val="baseline"/>
        <sz val="10"/>
        <color theme="1" tint="0.14996795556505021"/>
        <name val="Calibri"/>
        <scheme val="minor"/>
      </font>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tint="0.14996795556505021"/>
        <name val="Calibri"/>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theme="1" tint="0.14996795556505021"/>
        <name val="Calibri"/>
        <scheme val="minor"/>
      </font>
      <fill>
        <patternFill patternType="none">
          <fgColor indexed="64"/>
          <bgColor indexed="65"/>
        </patternFill>
      </fill>
      <border diagonalUp="0" diagonalDown="0" outline="0">
        <left/>
        <right/>
        <top/>
        <bottom/>
      </border>
    </dxf>
    <dxf>
      <font>
        <strike val="0"/>
        <outline val="0"/>
        <shadow val="0"/>
        <u val="none"/>
        <vertAlign val="baseline"/>
        <sz val="9"/>
        <color theme="1" tint="0.14996795556505021"/>
        <name val="Calibri Light"/>
        <scheme val="major"/>
      </font>
    </dxf>
    <dxf>
      <numFmt numFmtId="164" formatCode="&quot;$&quot;#,##0.00"/>
      <fill>
        <patternFill patternType="solid">
          <fgColor indexed="64"/>
          <bgColor theme="0" tint="-0.14996795556505021"/>
        </patternFill>
      </fill>
    </dxf>
    <dxf>
      <font>
        <b val="0"/>
        <i val="0"/>
        <strike val="0"/>
        <condense val="0"/>
        <extend val="0"/>
        <outline val="0"/>
        <shadow val="0"/>
        <u val="none"/>
        <vertAlign val="baseline"/>
        <sz val="10"/>
        <color theme="1" tint="0.14996795556505021"/>
        <name val="Calibri"/>
        <scheme val="minor"/>
      </font>
      <numFmt numFmtId="164" formatCode="&quot;$&quot;#,##0.00"/>
      <fill>
        <patternFill patternType="none">
          <fgColor indexed="64"/>
          <bgColor indexed="65"/>
        </patternFill>
      </fill>
      <border diagonalUp="0" diagonalDown="0" outline="0">
        <left/>
        <right/>
        <top/>
        <bottom/>
      </border>
    </dxf>
    <dxf>
      <numFmt numFmtId="164" formatCode="&quot;$&quot;#,##0.00"/>
      <fill>
        <patternFill patternType="solid">
          <fgColor indexed="64"/>
          <bgColor theme="0" tint="-0.14996795556505021"/>
        </patternFill>
      </fill>
    </dxf>
    <dxf>
      <font>
        <b val="0"/>
        <i val="0"/>
        <strike val="0"/>
        <condense val="0"/>
        <extend val="0"/>
        <outline val="0"/>
        <shadow val="0"/>
        <u val="none"/>
        <vertAlign val="baseline"/>
        <sz val="10"/>
        <color theme="1" tint="0.14996795556505021"/>
        <name val="Calibri"/>
        <scheme val="minor"/>
      </font>
      <numFmt numFmtId="164" formatCode="&quot;$&quot;#,##0.0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theme="1" tint="0.14996795556505021"/>
        <name val="Calibri"/>
        <scheme val="minor"/>
      </font>
      <fill>
        <patternFill patternType="none">
          <fgColor indexed="64"/>
          <bgColor indexed="65"/>
        </patternFill>
      </fill>
      <border diagonalUp="0" diagonalDown="0" outline="0">
        <left/>
        <right/>
        <top/>
        <bottom/>
      </border>
    </dxf>
    <dxf>
      <alignment horizontal="right" vertical="bottom" textRotation="0" wrapText="0" indent="0" justifyLastLine="0" shrinkToFit="0" readingOrder="0"/>
    </dxf>
    <dxf>
      <font>
        <b val="0"/>
        <i val="0"/>
        <strike val="0"/>
        <condense val="0"/>
        <extend val="0"/>
        <outline val="0"/>
        <shadow val="0"/>
        <u val="none"/>
        <vertAlign val="baseline"/>
        <sz val="10"/>
        <color theme="1" tint="0.14996795556505021"/>
        <name val="Calibri"/>
        <scheme val="minor"/>
      </font>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tint="0.14996795556505021"/>
        <name val="Calibri"/>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theme="1" tint="0.14996795556505021"/>
        <name val="Calibri"/>
        <scheme val="minor"/>
      </font>
      <fill>
        <patternFill patternType="none">
          <fgColor indexed="64"/>
          <bgColor indexed="65"/>
        </patternFill>
      </fill>
      <border diagonalUp="0" diagonalDown="0" outline="0">
        <left/>
        <right/>
        <top/>
        <bottom/>
      </border>
    </dxf>
    <dxf>
      <font>
        <strike val="0"/>
        <outline val="0"/>
        <shadow val="0"/>
        <u val="none"/>
        <vertAlign val="baseline"/>
        <sz val="9"/>
        <color theme="1" tint="0.14996795556505021"/>
        <name val="Calibri Light"/>
        <scheme val="major"/>
      </font>
    </dxf>
    <dxf>
      <numFmt numFmtId="164" formatCode="&quot;$&quot;#,##0.00"/>
      <fill>
        <patternFill patternType="solid">
          <fgColor indexed="64"/>
          <bgColor theme="0" tint="-0.14996795556505021"/>
        </patternFill>
      </fill>
    </dxf>
    <dxf>
      <numFmt numFmtId="164" formatCode="&quot;$&quot;#,##0.00"/>
      <fill>
        <patternFill patternType="solid">
          <fgColor indexed="64"/>
          <bgColor theme="0" tint="-0.14996795556505021"/>
        </patternFill>
      </fill>
    </dxf>
    <dxf>
      <font>
        <b val="0"/>
        <i val="0"/>
        <strike val="0"/>
        <condense val="0"/>
        <extend val="0"/>
        <outline val="0"/>
        <shadow val="0"/>
        <u val="none"/>
        <vertAlign val="baseline"/>
        <sz val="10"/>
        <color theme="1" tint="0.14996795556505021"/>
        <name val="Calibri"/>
        <scheme val="minor"/>
      </font>
      <fill>
        <patternFill patternType="none">
          <fgColor indexed="64"/>
          <bgColor indexed="65"/>
        </patternFill>
      </fill>
      <border diagonalUp="0" diagonalDown="0" outline="0">
        <left/>
        <right/>
        <top/>
        <bottom/>
      </border>
    </dxf>
    <dxf>
      <alignment horizontal="right" vertical="bottom" textRotation="0" wrapText="0" indent="0" justifyLastLine="0" shrinkToFit="0" readingOrder="0"/>
    </dxf>
    <dxf>
      <font>
        <b val="0"/>
        <i val="0"/>
        <strike val="0"/>
        <condense val="0"/>
        <extend val="0"/>
        <outline val="0"/>
        <shadow val="0"/>
        <u val="none"/>
        <vertAlign val="baseline"/>
        <sz val="10"/>
        <color theme="1" tint="0.14996795556505021"/>
        <name val="Calibri"/>
        <scheme val="minor"/>
      </font>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tint="0.14996795556505021"/>
        <name val="Calibri"/>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theme="1" tint="0.14996795556505021"/>
        <name val="Calibri"/>
        <scheme val="minor"/>
      </font>
      <fill>
        <patternFill patternType="none">
          <fgColor indexed="64"/>
          <bgColor indexed="65"/>
        </patternFill>
      </fill>
      <border diagonalUp="0" diagonalDown="0" outline="0">
        <left/>
        <right/>
        <top/>
        <bottom/>
      </border>
    </dxf>
    <dxf>
      <font>
        <strike val="0"/>
        <outline val="0"/>
        <shadow val="0"/>
        <u val="none"/>
        <vertAlign val="baseline"/>
        <sz val="9"/>
        <color theme="1" tint="0.14996795556505021"/>
        <name val="Calibri Light"/>
        <scheme val="major"/>
      </font>
    </dxf>
    <dxf>
      <numFmt numFmtId="164" formatCode="&quot;$&quot;#,##0.00"/>
      <fill>
        <patternFill patternType="solid">
          <fgColor indexed="64"/>
          <bgColor theme="0" tint="-0.14996795556505021"/>
        </patternFill>
      </fill>
    </dxf>
    <dxf>
      <font>
        <b val="0"/>
        <i val="0"/>
        <strike val="0"/>
        <condense val="0"/>
        <extend val="0"/>
        <outline val="0"/>
        <shadow val="0"/>
        <u val="none"/>
        <vertAlign val="baseline"/>
        <sz val="10"/>
        <color theme="1" tint="0.14996795556505021"/>
        <name val="Calibri"/>
        <scheme val="minor"/>
      </font>
      <numFmt numFmtId="164" formatCode="&quot;$&quot;#,##0.00"/>
      <fill>
        <patternFill patternType="none">
          <fgColor indexed="64"/>
          <bgColor indexed="65"/>
        </patternFill>
      </fill>
      <border diagonalUp="0" diagonalDown="0" outline="0">
        <left/>
        <right/>
        <top/>
        <bottom/>
      </border>
    </dxf>
    <dxf>
      <numFmt numFmtId="164" formatCode="&quot;$&quot;#,##0.00"/>
      <fill>
        <patternFill patternType="solid">
          <fgColor indexed="64"/>
          <bgColor theme="0" tint="-0.14996795556505021"/>
        </patternFill>
      </fill>
    </dxf>
    <dxf>
      <font>
        <b val="0"/>
        <i val="0"/>
        <strike val="0"/>
        <condense val="0"/>
        <extend val="0"/>
        <outline val="0"/>
        <shadow val="0"/>
        <u val="none"/>
        <vertAlign val="baseline"/>
        <sz val="10"/>
        <color theme="1" tint="0.14996795556505021"/>
        <name val="Calibri"/>
        <scheme val="minor"/>
      </font>
      <numFmt numFmtId="164" formatCode="&quot;$&quot;#,##0.00"/>
      <fill>
        <patternFill patternType="none">
          <fgColor indexed="64"/>
          <bgColor indexed="65"/>
        </patternFill>
      </fill>
      <border diagonalUp="0" diagonalDown="0" outline="0">
        <left/>
        <right/>
        <top/>
        <bottom/>
      </border>
    </dxf>
    <dxf>
      <numFmt numFmtId="164" formatCode="&quot;$&quot;#,##0.00"/>
    </dxf>
    <dxf>
      <font>
        <b val="0"/>
        <i val="0"/>
        <strike val="0"/>
        <condense val="0"/>
        <extend val="0"/>
        <outline val="0"/>
        <shadow val="0"/>
        <u val="none"/>
        <vertAlign val="baseline"/>
        <sz val="10"/>
        <color theme="1" tint="0.14996795556505021"/>
        <name val="Calibri"/>
        <scheme val="minor"/>
      </font>
      <numFmt numFmtId="164" formatCode="&quot;$&quot;#,##0.00"/>
      <fill>
        <patternFill patternType="none">
          <fgColor indexed="64"/>
          <bgColor indexed="65"/>
        </patternFill>
      </fill>
      <border diagonalUp="0" diagonalDown="0" outline="0">
        <left/>
        <right/>
        <top/>
        <bottom/>
      </border>
    </dxf>
    <dxf>
      <alignment horizontal="right" vertical="bottom" textRotation="0" wrapText="0" indent="0" justifyLastLine="0" shrinkToFit="0" readingOrder="0"/>
    </dxf>
    <dxf>
      <font>
        <b val="0"/>
        <i val="0"/>
        <strike val="0"/>
        <condense val="0"/>
        <extend val="0"/>
        <outline val="0"/>
        <shadow val="0"/>
        <u val="none"/>
        <vertAlign val="baseline"/>
        <sz val="10"/>
        <color theme="1" tint="0.14996795556505021"/>
        <name val="Calibri"/>
        <scheme val="minor"/>
      </font>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tint="0.14996795556505021"/>
        <name val="Calibri"/>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theme="1" tint="0.14996795556505021"/>
        <name val="Calibri"/>
        <scheme val="minor"/>
      </font>
      <fill>
        <patternFill patternType="none">
          <fgColor indexed="64"/>
          <bgColor indexed="65"/>
        </patternFill>
      </fill>
      <border diagonalUp="0" diagonalDown="0" outline="0">
        <left/>
        <right/>
        <top/>
        <bottom/>
      </border>
    </dxf>
    <dxf>
      <font>
        <strike val="0"/>
        <outline val="0"/>
        <shadow val="0"/>
        <u val="none"/>
        <vertAlign val="baseline"/>
        <sz val="9"/>
        <color theme="1" tint="0.14996795556505021"/>
        <name val="Calibri Light"/>
        <scheme val="major"/>
      </font>
    </dxf>
    <dxf>
      <font>
        <strike val="0"/>
        <outline val="0"/>
        <shadow val="0"/>
        <u val="none"/>
        <vertAlign val="baseline"/>
        <sz val="9"/>
        <color theme="1" tint="0.14996795556505021"/>
        <name val="Calibri Light"/>
        <scheme val="major"/>
      </font>
    </dxf>
    <dxf>
      <font>
        <strike val="0"/>
        <outline val="0"/>
        <shadow val="0"/>
        <u val="none"/>
        <vertAlign val="baseline"/>
        <sz val="9"/>
        <color theme="1" tint="0.14996795556505021"/>
        <name val="Calibri Light"/>
        <scheme val="major"/>
      </font>
    </dxf>
    <dxf>
      <font>
        <strike val="0"/>
        <outline val="0"/>
        <shadow val="0"/>
        <u val="none"/>
        <vertAlign val="baseline"/>
        <sz val="9"/>
        <color theme="1" tint="0.14996795556505021"/>
        <name val="Calibri Light"/>
        <scheme val="major"/>
      </font>
    </dxf>
    <dxf>
      <font>
        <strike val="0"/>
        <outline val="0"/>
        <shadow val="0"/>
        <u val="none"/>
        <vertAlign val="baseline"/>
        <sz val="9"/>
        <color theme="1" tint="0.14996795556505021"/>
        <name val="Calibri Light"/>
        <scheme val="major"/>
      </font>
    </dxf>
    <dxf>
      <font>
        <strike val="0"/>
        <outline val="0"/>
        <shadow val="0"/>
        <u val="none"/>
        <vertAlign val="baseline"/>
        <sz val="9"/>
        <color theme="1" tint="0.14996795556505021"/>
        <name val="Calibri Light"/>
        <scheme val="major"/>
      </font>
    </dxf>
    <dxf>
      <numFmt numFmtId="164" formatCode="&quot;$&quot;#,##0.00"/>
    </dxf>
    <dxf>
      <numFmt numFmtId="164" formatCode="&quot;$&quot;#,##0.00"/>
    </dxf>
    <dxf>
      <font>
        <strike val="0"/>
        <outline val="0"/>
        <shadow val="0"/>
        <u val="none"/>
        <vertAlign val="baseline"/>
        <sz val="9"/>
        <color theme="1" tint="0.14996795556505021"/>
        <name val="Calibri Light"/>
        <scheme val="major"/>
      </font>
    </dxf>
    <dxf>
      <font>
        <strike val="0"/>
        <outline val="0"/>
        <shadow val="0"/>
        <u val="none"/>
        <vertAlign val="baseline"/>
        <sz val="9"/>
        <color theme="1" tint="0.14996795556505021"/>
        <name val="Calibri Light"/>
        <scheme val="major"/>
      </font>
    </dxf>
    <dxf>
      <font>
        <strike val="0"/>
        <outline val="0"/>
        <shadow val="0"/>
        <u val="none"/>
        <vertAlign val="baseline"/>
        <sz val="11"/>
        <color theme="1" tint="0.14996795556505021"/>
        <name val="Calibri"/>
        <scheme val="minor"/>
      </font>
      <numFmt numFmtId="164" formatCode="&quot;$&quot;#,##0.00"/>
      <alignment horizontal="general" vertical="center" textRotation="0" wrapText="0" indent="0" justifyLastLine="0" shrinkToFit="0" readingOrder="0"/>
    </dxf>
    <dxf>
      <font>
        <strike val="0"/>
        <outline val="0"/>
        <shadow val="0"/>
        <u val="none"/>
        <vertAlign val="baseline"/>
        <sz val="11"/>
        <color theme="1" tint="0.14996795556505021"/>
        <name val="Calibri"/>
        <scheme val="minor"/>
      </font>
      <numFmt numFmtId="164" formatCode="&quot;$&quot;#,##0.00"/>
      <alignment horizontal="general" vertical="center" textRotation="0" wrapText="0" indent="0" justifyLastLine="0" shrinkToFit="0" readingOrder="0"/>
    </dxf>
    <dxf>
      <font>
        <strike val="0"/>
        <outline val="0"/>
        <shadow val="0"/>
        <u val="none"/>
        <vertAlign val="baseline"/>
        <sz val="11"/>
        <color theme="1" tint="0.14996795556505021"/>
        <name val="Calibri"/>
        <scheme val="minor"/>
      </font>
      <alignment horizontal="general" vertical="center" textRotation="0" wrapText="0" indent="0" justifyLastLine="0" shrinkToFit="0" readingOrder="0"/>
    </dxf>
    <dxf>
      <font>
        <strike val="0"/>
        <outline val="0"/>
        <shadow val="0"/>
        <u val="none"/>
        <vertAlign val="baseline"/>
        <sz val="11"/>
        <color theme="1" tint="0.14996795556505021"/>
        <name val="Calibri"/>
        <scheme val="minor"/>
      </font>
      <alignment horizontal="general" vertical="center" textRotation="0" wrapText="0" indent="0" justifyLastLine="0" shrinkToFit="0" readingOrder="0"/>
    </dxf>
    <dxf>
      <font>
        <strike val="0"/>
        <outline val="0"/>
        <shadow val="0"/>
        <u val="none"/>
        <vertAlign val="baseline"/>
        <sz val="11"/>
        <color theme="1" tint="0.14996795556505021"/>
        <name val="Calibri Light"/>
        <scheme val="major"/>
      </font>
    </dxf>
    <dxf>
      <numFmt numFmtId="3" formatCode="#,##0"/>
      <alignment horizontal="right" vertical="center" textRotation="0" wrapText="0" indent="1" justifyLastLine="0" shrinkToFit="0" readingOrder="0"/>
    </dxf>
    <dxf>
      <numFmt numFmtId="3" formatCode="#,##0"/>
      <alignment horizontal="right" vertical="center" textRotation="0" wrapText="0" indent="1" justifyLastLine="0" shrinkToFit="0" readingOrder="0"/>
    </dxf>
    <dxf>
      <numFmt numFmtId="3" formatCode="#,##0"/>
      <alignment horizontal="right" vertical="center" textRotation="0" wrapText="0" indent="1" justifyLastLine="0" shrinkToFit="0" readingOrder="0"/>
    </dxf>
    <dxf>
      <alignment horizontal="left" vertical="center" textRotation="0" wrapText="0" indent="1" justifyLastLine="0" shrinkToFit="0" readingOrder="0"/>
    </dxf>
    <dxf>
      <alignment horizontal="righ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fill>
        <patternFill patternType="none">
          <fgColor indexed="64"/>
          <bgColor indexed="65"/>
        </patternFill>
      </fill>
      <alignment horizontal="right"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font>
        <strike val="0"/>
        <outline val="0"/>
        <shadow val="0"/>
        <u val="none"/>
        <vertAlign val="baseline"/>
        <sz val="11"/>
        <color theme="1" tint="0.499984740745262"/>
        <name val="Calibri Light"/>
        <scheme val="major"/>
      </font>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font>
        <strike val="0"/>
        <outline val="0"/>
        <shadow val="0"/>
        <u val="none"/>
        <vertAlign val="baseline"/>
        <sz val="11"/>
        <color theme="1" tint="0.499984740745262"/>
        <name val="Calibri Light"/>
        <scheme val="major"/>
      </font>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font>
        <strike val="0"/>
        <outline val="0"/>
        <shadow val="0"/>
        <u val="none"/>
        <vertAlign val="baseline"/>
        <sz val="11"/>
        <color theme="1" tint="0.499984740745262"/>
        <name val="Calibri Light"/>
        <scheme val="major"/>
      </font>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font>
        <strike val="0"/>
        <outline val="0"/>
        <shadow val="0"/>
        <u val="none"/>
        <vertAlign val="baseline"/>
        <sz val="11"/>
        <color theme="1" tint="0.499984740745262"/>
        <name val="Calibri Light"/>
        <scheme val="major"/>
      </font>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font>
        <strike val="0"/>
        <outline val="0"/>
        <shadow val="0"/>
        <u val="none"/>
        <vertAlign val="baseline"/>
        <sz val="11"/>
        <color theme="1" tint="0.499984740745262"/>
        <name val="Calibri Light"/>
        <scheme val="major"/>
      </font>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font>
        <strike val="0"/>
        <outline val="0"/>
        <shadow val="0"/>
        <u val="none"/>
        <vertAlign val="baseline"/>
        <sz val="11"/>
        <color theme="1" tint="0.499984740745262"/>
        <name val="Calibri Light"/>
        <scheme val="major"/>
      </font>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font>
        <strike val="0"/>
        <outline val="0"/>
        <shadow val="0"/>
        <u val="none"/>
        <vertAlign val="baseline"/>
        <sz val="11"/>
        <color theme="1" tint="0.499984740745262"/>
        <name val="Calibri Light"/>
        <scheme val="major"/>
      </font>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font>
        <strike val="0"/>
        <outline val="0"/>
        <shadow val="0"/>
        <u val="none"/>
        <vertAlign val="baseline"/>
        <sz val="11"/>
        <color theme="1" tint="0.499984740745262"/>
        <name val="Calibri Light"/>
        <scheme val="major"/>
      </font>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font>
        <strike val="0"/>
        <outline val="0"/>
        <shadow val="0"/>
        <u val="none"/>
        <vertAlign val="baseline"/>
        <sz val="11"/>
        <color theme="1" tint="0.499984740745262"/>
        <name val="Calibri Light"/>
        <scheme val="major"/>
      </font>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font>
        <strike val="0"/>
        <outline val="0"/>
        <shadow val="0"/>
        <u val="none"/>
        <vertAlign val="baseline"/>
        <sz val="11"/>
        <color theme="1" tint="0.499984740745262"/>
        <name val="Calibri Light"/>
        <scheme val="major"/>
      </font>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font>
        <strike val="0"/>
        <outline val="0"/>
        <shadow val="0"/>
        <u val="none"/>
        <vertAlign val="baseline"/>
        <sz val="11"/>
        <color theme="1" tint="0.499984740745262"/>
        <name val="Calibri Light"/>
        <scheme val="major"/>
      </font>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font>
        <strike val="0"/>
        <outline val="0"/>
        <shadow val="0"/>
        <u val="none"/>
        <vertAlign val="baseline"/>
        <sz val="11"/>
        <color theme="1" tint="0.499984740745262"/>
        <name val="Calibri Light"/>
        <scheme val="major"/>
      </font>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font>
        <strike val="0"/>
        <outline val="0"/>
        <shadow val="0"/>
        <u val="none"/>
        <vertAlign val="baseline"/>
        <sz val="11"/>
        <color theme="1" tint="0.499984740745262"/>
        <name val="Calibri Light"/>
        <scheme val="major"/>
      </font>
    </dxf>
    <dxf>
      <fill>
        <patternFill patternType="none">
          <bgColor auto="1"/>
        </patternFill>
      </fill>
      <border diagonalUp="0" diagonalDown="0">
        <left/>
        <right style="thick">
          <color theme="8" tint="0.59996337778862885"/>
        </right>
        <top/>
        <bottom/>
        <vertical/>
        <horizontal/>
      </border>
    </dxf>
    <dxf>
      <border diagonalUp="0" diagonalDown="0">
        <left/>
        <right style="thick">
          <color theme="8" tint="0.59996337778862885"/>
        </right>
        <top/>
        <bottom/>
        <vertical/>
        <horizontal/>
      </border>
    </dxf>
    <dxf>
      <font>
        <color theme="1" tint="0.499984740745262"/>
      </font>
      <fill>
        <patternFill>
          <bgColor theme="0" tint="-4.9989318521683403E-2"/>
        </patternFill>
      </fill>
    </dxf>
    <dxf>
      <fill>
        <patternFill patternType="none">
          <bgColor auto="1"/>
        </patternFill>
      </fill>
      <border diagonalUp="0" diagonalDown="0">
        <left/>
        <right style="thick">
          <color theme="8" tint="0.59996337778862885"/>
        </right>
        <top/>
        <bottom/>
        <vertical/>
        <horizontal/>
      </border>
    </dxf>
    <dxf>
      <font>
        <b/>
        <i val="0"/>
        <color theme="0"/>
      </font>
      <fill>
        <patternFill>
          <bgColor theme="8"/>
        </patternFill>
      </fill>
      <border>
        <top style="thin">
          <color theme="8"/>
        </top>
      </border>
    </dxf>
    <dxf>
      <font>
        <b val="0"/>
        <i val="0"/>
        <color theme="8"/>
      </font>
      <fill>
        <patternFill patternType="none">
          <fgColor indexed="64"/>
          <bgColor auto="1"/>
        </patternFill>
      </fill>
      <border>
        <bottom style="double">
          <color theme="8" tint="0.59996337778862885"/>
        </bottom>
      </border>
    </dxf>
    <dxf>
      <font>
        <color theme="1" tint="0.499984740745262"/>
      </font>
      <fill>
        <patternFill patternType="none">
          <bgColor auto="1"/>
        </patternFill>
      </fill>
      <border>
        <left style="thick">
          <color theme="8" tint="0.59996337778862885"/>
        </left>
        <right style="thick">
          <color theme="8" tint="0.59996337778862885"/>
        </right>
        <top style="thick">
          <color theme="8" tint="0.59996337778862885"/>
        </top>
        <bottom style="thick">
          <color theme="8" tint="0.59996337778862885"/>
        </bottom>
        <vertical style="dotted">
          <color theme="8" tint="0.59996337778862885"/>
        </vertical>
        <horizontal style="dotted">
          <color theme="8" tint="0.59996337778862885"/>
        </horizontal>
      </border>
    </dxf>
    <dxf>
      <fill>
        <patternFill patternType="none">
          <bgColor auto="1"/>
        </patternFill>
      </fill>
      <border diagonalUp="0" diagonalDown="0">
        <left/>
        <right style="thick">
          <color theme="7" tint="0.59996337778862885"/>
        </right>
        <top/>
        <bottom/>
        <vertical/>
        <horizontal/>
      </border>
    </dxf>
    <dxf>
      <border diagonalUp="0" diagonalDown="0">
        <left/>
        <right style="thick">
          <color theme="7" tint="0.59996337778862885"/>
        </right>
        <top/>
        <bottom/>
        <vertical/>
        <horizontal/>
      </border>
    </dxf>
    <dxf>
      <font>
        <color theme="1" tint="0.499984740745262"/>
      </font>
      <fill>
        <patternFill>
          <bgColor theme="0" tint="-4.9989318521683403E-2"/>
        </patternFill>
      </fill>
    </dxf>
    <dxf>
      <border diagonalUp="0" diagonalDown="0">
        <left/>
        <right style="thick">
          <color theme="7" tint="0.59996337778862885"/>
        </right>
        <top/>
        <bottom/>
        <vertical/>
        <horizontal/>
      </border>
    </dxf>
    <dxf>
      <font>
        <b/>
        <i val="0"/>
        <color theme="0"/>
      </font>
      <fill>
        <patternFill>
          <bgColor theme="7"/>
        </patternFill>
      </fill>
      <border>
        <top style="thin">
          <color theme="7"/>
        </top>
      </border>
    </dxf>
    <dxf>
      <font>
        <b val="0"/>
        <i val="0"/>
        <color theme="7"/>
      </font>
      <fill>
        <patternFill patternType="none">
          <fgColor indexed="64"/>
          <bgColor auto="1"/>
        </patternFill>
      </fill>
      <border>
        <bottom style="double">
          <color theme="7" tint="0.59996337778862885"/>
        </bottom>
      </border>
    </dxf>
    <dxf>
      <font>
        <color theme="1" tint="0.499984740745262"/>
      </font>
      <fill>
        <patternFill patternType="none">
          <bgColor auto="1"/>
        </patternFill>
      </fill>
      <border>
        <left style="thick">
          <color theme="7" tint="0.59996337778862885"/>
        </left>
        <right style="thick">
          <color theme="7" tint="0.59996337778862885"/>
        </right>
        <top style="thick">
          <color theme="7" tint="0.59996337778862885"/>
        </top>
        <bottom style="thick">
          <color theme="7" tint="0.59996337778862885"/>
        </bottom>
        <vertical style="dotted">
          <color theme="7" tint="0.79998168889431442"/>
        </vertical>
        <horizontal style="dotted">
          <color theme="7" tint="0.79998168889431442"/>
        </horizontal>
      </border>
    </dxf>
    <dxf>
      <fill>
        <patternFill patternType="none">
          <bgColor auto="1"/>
        </patternFill>
      </fill>
      <border diagonalUp="0" diagonalDown="0">
        <left/>
        <right style="thick">
          <color theme="5" tint="0.59996337778862885"/>
        </right>
        <top/>
        <bottom/>
        <vertical/>
        <horizontal/>
      </border>
    </dxf>
    <dxf>
      <border diagonalUp="0" diagonalDown="0">
        <left/>
        <right style="thick">
          <color theme="5" tint="0.59996337778862885"/>
        </right>
        <top/>
        <bottom/>
        <vertical/>
        <horizontal/>
      </border>
    </dxf>
    <dxf>
      <font>
        <color theme="1" tint="0.499984740745262"/>
      </font>
      <fill>
        <patternFill>
          <bgColor theme="0" tint="-4.9989318521683403E-2"/>
        </patternFill>
      </fill>
    </dxf>
    <dxf>
      <fill>
        <patternFill patternType="none">
          <bgColor auto="1"/>
        </patternFill>
      </fill>
      <border diagonalUp="0" diagonalDown="0">
        <left/>
        <right style="thick">
          <color theme="5" tint="0.59996337778862885"/>
        </right>
        <top/>
        <bottom/>
        <vertical/>
        <horizontal/>
      </border>
    </dxf>
    <dxf>
      <font>
        <b/>
        <i val="0"/>
        <color theme="0"/>
      </font>
      <fill>
        <patternFill>
          <bgColor theme="5"/>
        </patternFill>
      </fill>
      <border>
        <top style="double">
          <color theme="5"/>
        </top>
      </border>
    </dxf>
    <dxf>
      <font>
        <b val="0"/>
        <i val="0"/>
        <color theme="5"/>
      </font>
      <fill>
        <patternFill patternType="none">
          <fgColor indexed="64"/>
          <bgColor auto="1"/>
        </patternFill>
      </fill>
      <border>
        <bottom style="double">
          <color theme="5" tint="0.59996337778862885"/>
        </bottom>
      </border>
    </dxf>
    <dxf>
      <font>
        <color theme="1" tint="0.499984740745262"/>
      </font>
      <fill>
        <patternFill patternType="none">
          <bgColor auto="1"/>
        </patternFill>
      </fill>
      <border>
        <left style="thick">
          <color theme="5" tint="0.59996337778862885"/>
        </left>
        <right style="thick">
          <color theme="5" tint="0.59996337778862885"/>
        </right>
        <top style="thick">
          <color theme="5" tint="0.59996337778862885"/>
        </top>
        <bottom style="thick">
          <color theme="5" tint="0.59996337778862885"/>
        </bottom>
        <vertical style="dotted">
          <color theme="5" tint="0.59996337778862885"/>
        </vertical>
        <horizontal style="dotted">
          <color theme="5" tint="0.59996337778862885"/>
        </horizontal>
      </border>
    </dxf>
  </dxfs>
  <tableStyles count="8" defaultTableStyle="TableStyleMedium2" defaultPivotStyle="PivotStyleLight16">
    <tableStyle name="Cash Flow" pivot="0" count="7">
      <tableStyleElement type="wholeTable" dxfId="443"/>
      <tableStyleElement type="headerRow" dxfId="442"/>
      <tableStyleElement type="totalRow" dxfId="441"/>
      <tableStyleElement type="firstColumn" dxfId="440"/>
      <tableStyleElement type="lastColumn" dxfId="439"/>
      <tableStyleElement type="firstHeaderCell" dxfId="438"/>
      <tableStyleElement type="firstTotalCell" dxfId="437"/>
    </tableStyle>
    <tableStyle name="Employee Absence Table" pivot="0" count="13">
      <tableStyleElement type="wholeTable" dxfId="293"/>
      <tableStyleElement type="headerRow" dxfId="292"/>
      <tableStyleElement type="totalRow" dxfId="291"/>
      <tableStyleElement type="firstColumn" dxfId="290"/>
      <tableStyleElement type="lastColumn" dxfId="289"/>
      <tableStyleElement type="firstRowStripe" dxfId="288"/>
      <tableStyleElement type="secondRowStripe" dxfId="287"/>
      <tableStyleElement type="firstColumnStripe" dxfId="286"/>
      <tableStyleElement type="secondColumnStripe" dxfId="285"/>
      <tableStyleElement type="firstHeaderCell" dxfId="284"/>
      <tableStyleElement type="lastHeaderCell" dxfId="283"/>
      <tableStyleElement type="firstTotalCell" dxfId="282"/>
      <tableStyleElement type="lastTotalCell" dxfId="281"/>
    </tableStyle>
    <tableStyle name="Employee Absence Table 2" pivot="0" count="13">
      <tableStyleElement type="wholeTable" dxfId="215"/>
      <tableStyleElement type="headerRow" dxfId="214"/>
      <tableStyleElement type="totalRow" dxfId="213"/>
      <tableStyleElement type="firstColumn" dxfId="212"/>
      <tableStyleElement type="lastColumn" dxfId="211"/>
      <tableStyleElement type="firstRowStripe" dxfId="210"/>
      <tableStyleElement type="secondRowStripe" dxfId="209"/>
      <tableStyleElement type="firstColumnStripe" dxfId="208"/>
      <tableStyleElement type="secondColumnStripe" dxfId="207"/>
      <tableStyleElement type="firstHeaderCell" dxfId="206"/>
      <tableStyleElement type="lastHeaderCell" dxfId="205"/>
      <tableStyleElement type="firstTotalCell" dxfId="204"/>
      <tableStyleElement type="lastTotalCell" dxfId="203"/>
    </tableStyle>
    <tableStyle name="Family Budget Cash Available" pivot="0" count="6">
      <tableStyleElement type="wholeTable" dxfId="137"/>
      <tableStyleElement type="headerRow" dxfId="136"/>
      <tableStyleElement type="totalRow" dxfId="135"/>
      <tableStyleElement type="firstColumn" dxfId="134"/>
      <tableStyleElement type="firstHeaderCell" dxfId="133"/>
      <tableStyleElement type="firstTotalCell" dxfId="132"/>
    </tableStyle>
    <tableStyle name="Family Budget Cash Available 2" pivot="0" count="6">
      <tableStyleElement type="wholeTable" dxfId="131"/>
      <tableStyleElement type="headerRow" dxfId="130"/>
      <tableStyleElement type="totalRow" dxfId="129"/>
      <tableStyleElement type="firstColumn" dxfId="128"/>
      <tableStyleElement type="firstHeaderCell" dxfId="127"/>
      <tableStyleElement type="firstTotalCell" dxfId="126"/>
    </tableStyle>
    <tableStyle name="Family Budget Cash Available 3" pivot="0" count="6">
      <tableStyleElement type="wholeTable" dxfId="125"/>
      <tableStyleElement type="headerRow" dxfId="124"/>
      <tableStyleElement type="totalRow" dxfId="123"/>
      <tableStyleElement type="firstColumn" dxfId="122"/>
      <tableStyleElement type="firstHeaderCell" dxfId="121"/>
      <tableStyleElement type="firstTotalCell" dxfId="120"/>
    </tableStyle>
    <tableStyle name="Monthly Expenses" pivot="0" count="7">
      <tableStyleElement type="wholeTable" dxfId="436"/>
      <tableStyleElement type="headerRow" dxfId="435"/>
      <tableStyleElement type="totalRow" dxfId="434"/>
      <tableStyleElement type="firstColumn" dxfId="433"/>
      <tableStyleElement type="lastColumn" dxfId="432"/>
      <tableStyleElement type="firstHeaderCell" dxfId="431"/>
      <tableStyleElement type="firstTotalCell" dxfId="430"/>
    </tableStyle>
    <tableStyle name="Monthly Income" pivot="0" count="7">
      <tableStyleElement type="wholeTable" dxfId="429"/>
      <tableStyleElement type="headerRow" dxfId="428"/>
      <tableStyleElement type="totalRow" dxfId="427"/>
      <tableStyleElement type="firstColumn" dxfId="426"/>
      <tableStyleElement type="lastColumn" dxfId="425"/>
      <tableStyleElement type="firstHeaderCell" dxfId="424"/>
      <tableStyleElement type="firstTotalCell" dxfId="42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TOTAL PROFIT</a:t>
            </a:r>
          </a:p>
        </c:rich>
      </c:tx>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tr-TR"/>
        </a:p>
      </c:txPr>
    </c:title>
    <c:autoTitleDeleted val="0"/>
    <c:plotArea>
      <c:layout/>
      <c:barChart>
        <c:barDir val="col"/>
        <c:grouping val="clustered"/>
        <c:varyColors val="0"/>
        <c:ser>
          <c:idx val="0"/>
          <c:order val="0"/>
          <c:tx>
            <c:strRef>
              <c:f>DASHBOARD!$B$6</c:f>
              <c:strCache>
                <c:ptCount val="1"/>
                <c:pt idx="0">
                  <c:v>TOTAL INCOME</c:v>
                </c:pt>
              </c:strCache>
            </c:strRef>
          </c:tx>
          <c:spPr>
            <a:solidFill>
              <a:schemeClr val="accent1">
                <a:alpha val="70000"/>
              </a:schemeClr>
            </a:solidFill>
            <a:ln>
              <a:noFill/>
            </a:ln>
            <a:effectLst/>
          </c:spPr>
          <c:invertIfNegative val="0"/>
          <c:val>
            <c:numRef>
              <c:f>DASHBOARD!$C$6:$D$6</c:f>
              <c:numCache>
                <c:formatCode>"$"#,##0.00</c:formatCode>
                <c:ptCount val="2"/>
                <c:pt idx="0">
                  <c:v>1936</c:v>
                </c:pt>
                <c:pt idx="1">
                  <c:v>1831</c:v>
                </c:pt>
              </c:numCache>
            </c:numRef>
          </c:val>
        </c:ser>
        <c:ser>
          <c:idx val="1"/>
          <c:order val="1"/>
          <c:tx>
            <c:strRef>
              <c:f>DASHBOARD!$B$7</c:f>
              <c:strCache>
                <c:ptCount val="1"/>
                <c:pt idx="0">
                  <c:v>TOTAL EXPENSES</c:v>
                </c:pt>
              </c:strCache>
            </c:strRef>
          </c:tx>
          <c:spPr>
            <a:solidFill>
              <a:schemeClr val="accent2">
                <a:alpha val="70000"/>
              </a:schemeClr>
            </a:solidFill>
            <a:ln>
              <a:noFill/>
            </a:ln>
            <a:effectLst/>
          </c:spPr>
          <c:invertIfNegative val="0"/>
          <c:val>
            <c:numRef>
              <c:f>DASHBOARD!$C$7:$D$7</c:f>
              <c:numCache>
                <c:formatCode>"$"#,##0.00</c:formatCode>
                <c:ptCount val="2"/>
                <c:pt idx="0">
                  <c:v>850</c:v>
                </c:pt>
                <c:pt idx="1">
                  <c:v>300</c:v>
                </c:pt>
              </c:numCache>
            </c:numRef>
          </c:val>
        </c:ser>
        <c:dLbls>
          <c:showLegendKey val="0"/>
          <c:showVal val="0"/>
          <c:showCatName val="0"/>
          <c:showSerName val="0"/>
          <c:showPercent val="0"/>
          <c:showBubbleSize val="0"/>
        </c:dLbls>
        <c:gapWidth val="80"/>
        <c:overlap val="25"/>
        <c:axId val="251875160"/>
        <c:axId val="251871632"/>
      </c:barChart>
      <c:catAx>
        <c:axId val="251875160"/>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tr-TR"/>
          </a:p>
        </c:txPr>
        <c:crossAx val="251871632"/>
        <c:crosses val="autoZero"/>
        <c:auto val="1"/>
        <c:lblAlgn val="ctr"/>
        <c:lblOffset val="100"/>
        <c:noMultiLvlLbl val="0"/>
      </c:catAx>
      <c:valAx>
        <c:axId val="251871632"/>
        <c:scaling>
          <c:orientation val="minMax"/>
        </c:scaling>
        <c:delete val="0"/>
        <c:axPos val="l"/>
        <c:majorGridlines>
          <c:spPr>
            <a:ln w="9525" cap="flat" cmpd="sng" algn="ctr">
              <a:solidFill>
                <a:schemeClr val="tx1">
                  <a:lumMod val="5000"/>
                  <a:lumOff val="9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tr-TR"/>
          </a:p>
        </c:txPr>
        <c:crossAx val="2518751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latin typeface="+mj-lt"/>
              </a:rPr>
              <a:t>ESTIMATED</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tr-TR"/>
        </a:p>
      </c:txPr>
    </c:title>
    <c:autoTitleDeleted val="0"/>
    <c:plotArea>
      <c:layout/>
      <c:pieChart>
        <c:varyColors val="1"/>
        <c:ser>
          <c:idx val="0"/>
          <c:order val="0"/>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dPt>
          <c:cat>
            <c:strRef>
              <c:f>DASHBOARD!$B$6:$B$7</c:f>
              <c:strCache>
                <c:ptCount val="2"/>
                <c:pt idx="0">
                  <c:v>TOTAL INCOME</c:v>
                </c:pt>
                <c:pt idx="1">
                  <c:v>TOTAL EXPENSES</c:v>
                </c:pt>
              </c:strCache>
            </c:strRef>
          </c:cat>
          <c:val>
            <c:numRef>
              <c:f>DASHBOARD!$C$6:$C$7</c:f>
              <c:numCache>
                <c:formatCode>"$"#,##0.00</c:formatCode>
                <c:ptCount val="2"/>
                <c:pt idx="0">
                  <c:v>1936</c:v>
                </c:pt>
                <c:pt idx="1">
                  <c:v>850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latin typeface="+mj-lt"/>
              </a:rPr>
              <a:t>ACTUAL</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tr-TR"/>
        </a:p>
      </c:txPr>
    </c:title>
    <c:autoTitleDeleted val="0"/>
    <c:plotArea>
      <c:layout/>
      <c:pieChart>
        <c:varyColors val="1"/>
        <c:ser>
          <c:idx val="0"/>
          <c:order val="0"/>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dPt>
          <c:cat>
            <c:strRef>
              <c:f>DASHBOARD!$B$6:$B$7</c:f>
              <c:strCache>
                <c:ptCount val="2"/>
                <c:pt idx="0">
                  <c:v>TOTAL INCOME</c:v>
                </c:pt>
                <c:pt idx="1">
                  <c:v>TOTAL EXPENSES</c:v>
                </c:pt>
              </c:strCache>
            </c:strRef>
          </c:cat>
          <c:val>
            <c:numRef>
              <c:f>DASHBOARD!$D$6:$D$7</c:f>
              <c:numCache>
                <c:formatCode>"$"#,##0.00</c:formatCode>
                <c:ptCount val="2"/>
                <c:pt idx="0">
                  <c:v>1831</c:v>
                </c:pt>
                <c:pt idx="1">
                  <c:v>300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Cost Center </a:t>
            </a:r>
          </a:p>
        </c:rich>
      </c:tx>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tr-TR"/>
        </a:p>
      </c:txPr>
    </c:title>
    <c:autoTitleDeleted val="0"/>
    <c:plotArea>
      <c:layout/>
      <c:barChart>
        <c:barDir val="col"/>
        <c:grouping val="clustered"/>
        <c:varyColors val="0"/>
        <c:ser>
          <c:idx val="0"/>
          <c:order val="0"/>
          <c:tx>
            <c:strRef>
              <c:f>'COST DATA and CHART'!$C$41</c:f>
              <c:strCache>
                <c:ptCount val="1"/>
                <c:pt idx="0">
                  <c:v>Annual Cost </c:v>
                </c:pt>
              </c:strCache>
            </c:strRef>
          </c:tx>
          <c:spPr>
            <a:gradFill>
              <a:gsLst>
                <a:gs pos="0">
                  <a:schemeClr val="accent1"/>
                </a:gs>
                <a:gs pos="100000">
                  <a:schemeClr val="accent1">
                    <a:lumMod val="84000"/>
                  </a:schemeClr>
                </a:gs>
              </a:gsLst>
              <a:lin ang="5400000" scaled="1"/>
            </a:gradFill>
            <a:ln>
              <a:solidFill>
                <a:schemeClr val="bg1">
                  <a:lumMod val="85000"/>
                </a:schemeClr>
              </a:solidFill>
            </a:ln>
            <a:effectLst>
              <a:outerShdw blurRad="76200" dir="18900000" sy="23000" kx="-1200000" algn="bl" rotWithShape="0">
                <a:prstClr val="black">
                  <a:alpha val="20000"/>
                </a:prstClr>
              </a:outerShdw>
            </a:effectLst>
          </c:spPr>
          <c:invertIfNegative val="0"/>
          <c:cat>
            <c:strRef>
              <c:f>'COST DATA and CHART'!$B$42:$B$51</c:f>
              <c:strCache>
                <c:ptCount val="10"/>
                <c:pt idx="0">
                  <c:v>Parts and materials</c:v>
                </c:pt>
                <c:pt idx="1">
                  <c:v>Manufacturing equipment</c:v>
                </c:pt>
                <c:pt idx="2">
                  <c:v>Salaries</c:v>
                </c:pt>
                <c:pt idx="3">
                  <c:v>Maintenance</c:v>
                </c:pt>
                <c:pt idx="4">
                  <c:v>Office lease</c:v>
                </c:pt>
                <c:pt idx="5">
                  <c:v>Warehouse lease</c:v>
                </c:pt>
                <c:pt idx="6">
                  <c:v>Insurance</c:v>
                </c:pt>
                <c:pt idx="7">
                  <c:v>Benefits and pensions</c:v>
                </c:pt>
                <c:pt idx="8">
                  <c:v>Vehicles</c:v>
                </c:pt>
                <c:pt idx="9">
                  <c:v>Research</c:v>
                </c:pt>
              </c:strCache>
            </c:strRef>
          </c:cat>
          <c:val>
            <c:numRef>
              <c:f>'COST DATA and CHART'!$C$42:$C$51</c:f>
              <c:numCache>
                <c:formatCode>"$"#,##0.00_);[Red]\("$"#,##0.00\)</c:formatCode>
                <c:ptCount val="10"/>
                <c:pt idx="0">
                  <c:v>1325000</c:v>
                </c:pt>
                <c:pt idx="1">
                  <c:v>900500</c:v>
                </c:pt>
                <c:pt idx="2">
                  <c:v>575000</c:v>
                </c:pt>
                <c:pt idx="3">
                  <c:v>395000</c:v>
                </c:pt>
                <c:pt idx="4">
                  <c:v>295000</c:v>
                </c:pt>
                <c:pt idx="5">
                  <c:v>250000</c:v>
                </c:pt>
                <c:pt idx="6">
                  <c:v>180000</c:v>
                </c:pt>
                <c:pt idx="7">
                  <c:v>130000</c:v>
                </c:pt>
                <c:pt idx="8">
                  <c:v>125000</c:v>
                </c:pt>
                <c:pt idx="9">
                  <c:v>75000</c:v>
                </c:pt>
              </c:numCache>
            </c:numRef>
          </c:val>
        </c:ser>
        <c:dLbls>
          <c:showLegendKey val="0"/>
          <c:showVal val="0"/>
          <c:showCatName val="0"/>
          <c:showSerName val="0"/>
          <c:showPercent val="0"/>
          <c:showBubbleSize val="0"/>
        </c:dLbls>
        <c:gapWidth val="0"/>
        <c:axId val="521010416"/>
        <c:axId val="521010808"/>
      </c:barChart>
      <c:lineChart>
        <c:grouping val="standard"/>
        <c:varyColors val="0"/>
        <c:ser>
          <c:idx val="1"/>
          <c:order val="1"/>
          <c:tx>
            <c:strRef>
              <c:f>'COST DATA and CHART'!$E$41</c:f>
              <c:strCache>
                <c:ptCount val="1"/>
                <c:pt idx="0">
                  <c:v>Cumulative Percent</c:v>
                </c:pt>
              </c:strCache>
            </c:strRef>
          </c:tx>
          <c:spPr>
            <a:ln w="28575" cap="rnd">
              <a:gradFill>
                <a:gsLst>
                  <a:gs pos="0">
                    <a:schemeClr val="accent2"/>
                  </a:gs>
                  <a:gs pos="100000">
                    <a:schemeClr val="accent2">
                      <a:lumMod val="84000"/>
                    </a:schemeClr>
                  </a:gs>
                </a:gsLst>
                <a:lin ang="5400000" scaled="1"/>
              </a:gradFill>
              <a:round/>
            </a:ln>
            <a:effectLst/>
          </c:spPr>
          <c:marker>
            <c:symbol val="none"/>
          </c:marker>
          <c:val>
            <c:numRef>
              <c:f>'COST DATA and CHART'!$E$42:$E$51</c:f>
              <c:numCache>
                <c:formatCode>0.00%</c:formatCode>
                <c:ptCount val="10"/>
                <c:pt idx="0">
                  <c:v>0.31172803199623572</c:v>
                </c:pt>
                <c:pt idx="1">
                  <c:v>0.52358546053405486</c:v>
                </c:pt>
                <c:pt idx="2">
                  <c:v>0.65886366309845901</c:v>
                </c:pt>
                <c:pt idx="3">
                  <c:v>0.75179390659922363</c:v>
                </c:pt>
                <c:pt idx="4">
                  <c:v>0.82119750617574405</c:v>
                </c:pt>
                <c:pt idx="5">
                  <c:v>0.88001411598635459</c:v>
                </c:pt>
                <c:pt idx="6">
                  <c:v>0.92236207504999412</c:v>
                </c:pt>
                <c:pt idx="7">
                  <c:v>0.95294671215151161</c:v>
                </c:pt>
                <c:pt idx="8">
                  <c:v>0.98235501705681683</c:v>
                </c:pt>
                <c:pt idx="9">
                  <c:v>1</c:v>
                </c:pt>
              </c:numCache>
            </c:numRef>
          </c:val>
          <c:smooth val="0"/>
        </c:ser>
        <c:dLbls>
          <c:showLegendKey val="0"/>
          <c:showVal val="0"/>
          <c:showCatName val="0"/>
          <c:showSerName val="0"/>
          <c:showPercent val="0"/>
          <c:showBubbleSize val="0"/>
        </c:dLbls>
        <c:marker val="1"/>
        <c:smooth val="0"/>
        <c:axId val="313902560"/>
        <c:axId val="313904520"/>
      </c:lineChart>
      <c:catAx>
        <c:axId val="521010416"/>
        <c:scaling>
          <c:orientation val="minMax"/>
        </c:scaling>
        <c:delete val="0"/>
        <c:axPos val="b"/>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tr-TR"/>
          </a:p>
        </c:txPr>
        <c:crossAx val="521010808"/>
        <c:crosses val="autoZero"/>
        <c:auto val="1"/>
        <c:lblAlgn val="ctr"/>
        <c:lblOffset val="100"/>
        <c:noMultiLvlLbl val="0"/>
      </c:catAx>
      <c:valAx>
        <c:axId val="521010808"/>
        <c:scaling>
          <c:orientation val="minMax"/>
        </c:scaling>
        <c:delete val="0"/>
        <c:axPos val="l"/>
        <c:majorGridlines>
          <c:spPr>
            <a:ln w="9525" cap="flat" cmpd="sng" algn="ctr">
              <a:solidFill>
                <a:schemeClr val="dk1">
                  <a:lumMod val="15000"/>
                  <a:lumOff val="85000"/>
                </a:schemeClr>
              </a:solidFill>
              <a:round/>
            </a:ln>
            <a:effectLst/>
          </c:spPr>
        </c:majorGridlines>
        <c:numFmt formatCode="&quot;$&quot;#,##0.00_);[Red]\(&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tr-TR"/>
          </a:p>
        </c:txPr>
        <c:crossAx val="521010416"/>
        <c:crosses val="autoZero"/>
        <c:crossBetween val="between"/>
      </c:valAx>
      <c:valAx>
        <c:axId val="313904520"/>
        <c:scaling>
          <c:orientation val="minMax"/>
          <c:max val="1"/>
        </c:scaling>
        <c:delete val="0"/>
        <c:axPos val="r"/>
        <c:numFmt formatCode="0.00%" sourceLinked="1"/>
        <c:majorTickMark val="out"/>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tr-TR"/>
          </a:p>
        </c:txPr>
        <c:crossAx val="313902560"/>
        <c:crosses val="max"/>
        <c:crossBetween val="between"/>
      </c:valAx>
      <c:catAx>
        <c:axId val="313902560"/>
        <c:scaling>
          <c:orientation val="minMax"/>
        </c:scaling>
        <c:delete val="1"/>
        <c:axPos val="b"/>
        <c:majorTickMark val="out"/>
        <c:minorTickMark val="none"/>
        <c:tickLblPos val="nextTo"/>
        <c:crossAx val="313904520"/>
        <c:crosses val="autoZero"/>
        <c:auto val="1"/>
        <c:lblAlgn val="ctr"/>
        <c:lblOffset val="100"/>
        <c:noMultiLvlLbl val="0"/>
      </c:cat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tr-TR"/>
    </a:p>
  </c:txPr>
  <c:printSettings>
    <c:headerFooter/>
    <c:pageMargins b="0.4" l="0.4" r="0.4" t="0.4"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20375248306727636"/>
          <c:y val="0.11811023622047202"/>
          <c:w val="0.61365316037622897"/>
          <c:h val="0.6671194742389488"/>
        </c:manualLayout>
      </c:layout>
      <c:barChart>
        <c:barDir val="col"/>
        <c:grouping val="clustered"/>
        <c:varyColors val="0"/>
        <c:ser>
          <c:idx val="0"/>
          <c:order val="0"/>
          <c:tx>
            <c:strRef>
              <c:f>'Profit - Loss Summary'!$B$5</c:f>
              <c:strCache>
                <c:ptCount val="1"/>
                <c:pt idx="0">
                  <c:v>Total income</c:v>
                </c:pt>
              </c:strCache>
            </c:strRef>
          </c:tx>
          <c:invertIfNegative val="0"/>
          <c:cat>
            <c:strRef>
              <c:f>'Profit - Loss Summary'!$C$4:$D$4</c:f>
              <c:strCache>
                <c:ptCount val="2"/>
                <c:pt idx="0">
                  <c:v>Estimated</c:v>
                </c:pt>
                <c:pt idx="1">
                  <c:v>Actual</c:v>
                </c:pt>
              </c:strCache>
            </c:strRef>
          </c:cat>
          <c:val>
            <c:numRef>
              <c:f>'Profit - Loss Summary'!$C$5:$D$5</c:f>
              <c:numCache>
                <c:formatCode>"$"#,##0.00_);[Red]\("$"#,##0.00\)</c:formatCode>
                <c:ptCount val="2"/>
                <c:pt idx="0">
                  <c:v>32750</c:v>
                </c:pt>
                <c:pt idx="1">
                  <c:v>14910</c:v>
                </c:pt>
              </c:numCache>
            </c:numRef>
          </c:val>
        </c:ser>
        <c:ser>
          <c:idx val="1"/>
          <c:order val="1"/>
          <c:tx>
            <c:strRef>
              <c:f>'Profit - Loss Summary'!$B$6</c:f>
              <c:strCache>
                <c:ptCount val="1"/>
                <c:pt idx="0">
                  <c:v>Total expenses</c:v>
                </c:pt>
              </c:strCache>
            </c:strRef>
          </c:tx>
          <c:invertIfNegative val="0"/>
          <c:cat>
            <c:strRef>
              <c:f>'Profit - Loss Summary'!$C$4:$D$4</c:f>
              <c:strCache>
                <c:ptCount val="2"/>
                <c:pt idx="0">
                  <c:v>Estimated</c:v>
                </c:pt>
                <c:pt idx="1">
                  <c:v>Actual</c:v>
                </c:pt>
              </c:strCache>
            </c:strRef>
          </c:cat>
          <c:val>
            <c:numRef>
              <c:f>'Profit - Loss Summary'!$C$6:$D$6</c:f>
              <c:numCache>
                <c:formatCode>"$"#,##0.00_);[Red]\("$"#,##0.00\)</c:formatCode>
                <c:ptCount val="2"/>
                <c:pt idx="0">
                  <c:v>2800</c:v>
                </c:pt>
                <c:pt idx="1">
                  <c:v>3800</c:v>
                </c:pt>
              </c:numCache>
            </c:numRef>
          </c:val>
        </c:ser>
        <c:dLbls>
          <c:showLegendKey val="0"/>
          <c:showVal val="0"/>
          <c:showCatName val="0"/>
          <c:showSerName val="0"/>
          <c:showPercent val="0"/>
          <c:showBubbleSize val="0"/>
        </c:dLbls>
        <c:gapWidth val="150"/>
        <c:axId val="444146104"/>
        <c:axId val="444146888"/>
      </c:barChart>
      <c:catAx>
        <c:axId val="444146104"/>
        <c:scaling>
          <c:orientation val="minMax"/>
        </c:scaling>
        <c:delete val="0"/>
        <c:axPos val="b"/>
        <c:numFmt formatCode="General" sourceLinked="0"/>
        <c:majorTickMark val="out"/>
        <c:minorTickMark val="none"/>
        <c:tickLblPos val="nextTo"/>
        <c:crossAx val="444146888"/>
        <c:crosses val="autoZero"/>
        <c:auto val="1"/>
        <c:lblAlgn val="ctr"/>
        <c:lblOffset val="100"/>
        <c:noMultiLvlLbl val="0"/>
      </c:catAx>
      <c:valAx>
        <c:axId val="444146888"/>
        <c:scaling>
          <c:orientation val="minMax"/>
        </c:scaling>
        <c:delete val="0"/>
        <c:axPos val="l"/>
        <c:numFmt formatCode="&quot;$&quot;#,##0.00_);[Red]\(&quot;$&quot;#,##0.00\)" sourceLinked="1"/>
        <c:majorTickMark val="out"/>
        <c:minorTickMark val="none"/>
        <c:tickLblPos val="nextTo"/>
        <c:crossAx val="444146104"/>
        <c:crosses val="autoZero"/>
        <c:crossBetween val="between"/>
      </c:valAx>
      <c:spPr>
        <a:noFill/>
      </c:spPr>
    </c:plotArea>
    <c:legend>
      <c:legendPos val="r"/>
      <c:layout>
        <c:manualLayout>
          <c:xMode val="edge"/>
          <c:yMode val="edge"/>
          <c:x val="0.74087523634013974"/>
          <c:y val="0.17997551776616216"/>
          <c:w val="0.23176914055955816"/>
          <c:h val="0.30391451068616432"/>
        </c:manualLayout>
      </c:layout>
      <c:overlay val="0"/>
      <c:txPr>
        <a:bodyPr/>
        <a:lstStyle/>
        <a:p>
          <a:pPr rtl="0">
            <a:defRPr/>
          </a:pPr>
          <a:endParaRPr lang="tr-TR"/>
        </a:p>
      </c:txPr>
    </c:legend>
    <c:plotVisOnly val="1"/>
    <c:dispBlanksAs val="gap"/>
    <c:showDLblsOverMax val="0"/>
  </c:chart>
  <c:spPr>
    <a:noFill/>
    <a:ln>
      <a:noFill/>
    </a:ln>
  </c:spPr>
  <c:printSettings>
    <c:headerFooter/>
    <c:pageMargins b="1" l="0.75000000000000078" r="0.75000000000000078"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autoTitleDeleted val="0"/>
    <c:view3D>
      <c:rotX val="15"/>
      <c:rotY val="20"/>
      <c:rAngAx val="0"/>
    </c:view3D>
    <c:floor>
      <c:thickness val="0"/>
    </c:floor>
    <c:sideWall>
      <c:thickness val="0"/>
    </c:sideWall>
    <c:backWall>
      <c:thickness val="0"/>
    </c:backWall>
    <c:plotArea>
      <c:layout>
        <c:manualLayout>
          <c:layoutTarget val="inner"/>
          <c:xMode val="edge"/>
          <c:yMode val="edge"/>
          <c:x val="0.20743953422760317"/>
          <c:y val="5.9352826683181474E-2"/>
          <c:w val="0.61034343652249046"/>
          <c:h val="0.71989715119879794"/>
        </c:manualLayout>
      </c:layout>
      <c:bar3DChart>
        <c:barDir val="col"/>
        <c:grouping val="standard"/>
        <c:varyColors val="0"/>
        <c:ser>
          <c:idx val="0"/>
          <c:order val="0"/>
          <c:tx>
            <c:strRef>
              <c:f>'Income (2)'!$G$4</c:f>
              <c:strCache>
                <c:ptCount val="1"/>
                <c:pt idx="0">
                  <c:v>Estimated</c:v>
                </c:pt>
              </c:strCache>
            </c:strRef>
          </c:tx>
          <c:invertIfNegative val="0"/>
          <c:cat>
            <c:strRef>
              <c:f>('Income (2)'!$B$4,'Income (2)'!$B$11,'Income (2)'!$B$18,'Income (2)'!$B$25)</c:f>
              <c:strCache>
                <c:ptCount val="4"/>
                <c:pt idx="0">
                  <c:v>Admissions</c:v>
                </c:pt>
                <c:pt idx="1">
                  <c:v>Ads in program</c:v>
                </c:pt>
                <c:pt idx="2">
                  <c:v>Exhibitors/vendors</c:v>
                </c:pt>
                <c:pt idx="3">
                  <c:v>Sale of items</c:v>
                </c:pt>
              </c:strCache>
            </c:strRef>
          </c:cat>
          <c:val>
            <c:numRef>
              <c:f>('Income (2)'!$G$9,'Income (2)'!$G$16,'Income (2)'!$G$23,'Income (2)'!$G$31)</c:f>
              <c:numCache>
                <c:formatCode>"$"#,##0.00_);[Red]\("$"#,##0.00\)</c:formatCode>
                <c:ptCount val="4"/>
                <c:pt idx="0">
                  <c:v>2000</c:v>
                </c:pt>
                <c:pt idx="1">
                  <c:v>8500</c:v>
                </c:pt>
                <c:pt idx="2">
                  <c:v>7250</c:v>
                </c:pt>
                <c:pt idx="3">
                  <c:v>15000</c:v>
                </c:pt>
              </c:numCache>
            </c:numRef>
          </c:val>
        </c:ser>
        <c:ser>
          <c:idx val="1"/>
          <c:order val="1"/>
          <c:tx>
            <c:strRef>
              <c:f>'Income (2)'!$H$4</c:f>
              <c:strCache>
                <c:ptCount val="1"/>
                <c:pt idx="0">
                  <c:v>Actual</c:v>
                </c:pt>
              </c:strCache>
            </c:strRef>
          </c:tx>
          <c:invertIfNegative val="0"/>
          <c:cat>
            <c:strRef>
              <c:f>('Income (2)'!$B$4,'Income (2)'!$B$11,'Income (2)'!$B$18,'Income (2)'!$B$25)</c:f>
              <c:strCache>
                <c:ptCount val="4"/>
                <c:pt idx="0">
                  <c:v>Admissions</c:v>
                </c:pt>
                <c:pt idx="1">
                  <c:v>Ads in program</c:v>
                </c:pt>
                <c:pt idx="2">
                  <c:v>Exhibitors/vendors</c:v>
                </c:pt>
                <c:pt idx="3">
                  <c:v>Sale of items</c:v>
                </c:pt>
              </c:strCache>
            </c:strRef>
          </c:cat>
          <c:val>
            <c:numRef>
              <c:f>('Income (2)'!$H$9,'Income (2)'!$H$16,'Income (2)'!$H$23,'Income (2)'!$H$31)</c:f>
              <c:numCache>
                <c:formatCode>"$"#,##0.00_);[Red]\("$"#,##0.00\)</c:formatCode>
                <c:ptCount val="4"/>
                <c:pt idx="0">
                  <c:v>650</c:v>
                </c:pt>
                <c:pt idx="1">
                  <c:v>2750</c:v>
                </c:pt>
                <c:pt idx="2">
                  <c:v>1510</c:v>
                </c:pt>
                <c:pt idx="3">
                  <c:v>10000</c:v>
                </c:pt>
              </c:numCache>
            </c:numRef>
          </c:val>
        </c:ser>
        <c:dLbls>
          <c:showLegendKey val="0"/>
          <c:showVal val="0"/>
          <c:showCatName val="0"/>
          <c:showSerName val="0"/>
          <c:showPercent val="0"/>
          <c:showBubbleSize val="0"/>
        </c:dLbls>
        <c:gapWidth val="150"/>
        <c:shape val="box"/>
        <c:axId val="516940592"/>
        <c:axId val="516942552"/>
        <c:axId val="509459016"/>
      </c:bar3DChart>
      <c:catAx>
        <c:axId val="516940592"/>
        <c:scaling>
          <c:orientation val="minMax"/>
        </c:scaling>
        <c:delete val="0"/>
        <c:axPos val="b"/>
        <c:numFmt formatCode="General" sourceLinked="0"/>
        <c:majorTickMark val="out"/>
        <c:minorTickMark val="none"/>
        <c:tickLblPos val="nextTo"/>
        <c:crossAx val="516942552"/>
        <c:crosses val="autoZero"/>
        <c:auto val="1"/>
        <c:lblAlgn val="ctr"/>
        <c:lblOffset val="100"/>
        <c:noMultiLvlLbl val="0"/>
      </c:catAx>
      <c:valAx>
        <c:axId val="516942552"/>
        <c:scaling>
          <c:orientation val="minMax"/>
        </c:scaling>
        <c:delete val="0"/>
        <c:axPos val="l"/>
        <c:majorGridlines/>
        <c:numFmt formatCode="&quot;$&quot;#,##0.00_);[Red]\(&quot;$&quot;#,##0.00\)" sourceLinked="1"/>
        <c:majorTickMark val="out"/>
        <c:minorTickMark val="none"/>
        <c:tickLblPos val="nextTo"/>
        <c:crossAx val="516940592"/>
        <c:crosses val="autoZero"/>
        <c:crossBetween val="between"/>
      </c:valAx>
      <c:serAx>
        <c:axId val="509459016"/>
        <c:scaling>
          <c:orientation val="minMax"/>
        </c:scaling>
        <c:delete val="0"/>
        <c:axPos val="b"/>
        <c:majorTickMark val="out"/>
        <c:minorTickMark val="none"/>
        <c:tickLblPos val="nextTo"/>
        <c:crossAx val="516942552"/>
        <c:crosses val="autoZero"/>
      </c:serAx>
    </c:plotArea>
    <c:legend>
      <c:legendPos val="r"/>
      <c:layout>
        <c:manualLayout>
          <c:xMode val="edge"/>
          <c:yMode val="edge"/>
          <c:x val="0.241072376226944"/>
          <c:y val="0.89569870830752962"/>
          <c:w val="0.49043447308812432"/>
          <c:h val="9.0521100592763193E-2"/>
        </c:manualLayout>
      </c:layout>
      <c:overlay val="0"/>
      <c:txPr>
        <a:bodyPr/>
        <a:lstStyle/>
        <a:p>
          <a:pPr>
            <a:defRPr>
              <a:solidFill>
                <a:schemeClr val="tx1">
                  <a:lumMod val="50000"/>
                  <a:lumOff val="50000"/>
                </a:schemeClr>
              </a:solidFill>
            </a:defRPr>
          </a:pPr>
          <a:endParaRPr lang="tr-TR"/>
        </a:p>
      </c:txPr>
    </c:legend>
    <c:plotVisOnly val="1"/>
    <c:dispBlanksAs val="gap"/>
    <c:showDLblsOverMax val="0"/>
  </c:chart>
  <c:spPr>
    <a:noFill/>
    <a:ln>
      <a:noFill/>
    </a:ln>
  </c:spPr>
  <c:printSettings>
    <c:headerFooter/>
    <c:pageMargins b="1" l="0.75000000000000078" r="0.75000000000000078"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autoTitleDeleted val="1"/>
    <c:view3D>
      <c:rotX val="15"/>
      <c:rotY val="20"/>
      <c:rAngAx val="0"/>
    </c:view3D>
    <c:floor>
      <c:thickness val="0"/>
    </c:floor>
    <c:sideWall>
      <c:thickness val="0"/>
    </c:sideWall>
    <c:backWall>
      <c:thickness val="0"/>
    </c:backWall>
    <c:plotArea>
      <c:layout>
        <c:manualLayout>
          <c:layoutTarget val="inner"/>
          <c:xMode val="edge"/>
          <c:yMode val="edge"/>
          <c:x val="0.14122276487590901"/>
          <c:y val="2.6924166024988198E-2"/>
          <c:w val="0.70906628127180249"/>
          <c:h val="0.67497505746564446"/>
        </c:manualLayout>
      </c:layout>
      <c:bar3DChart>
        <c:barDir val="col"/>
        <c:grouping val="clustered"/>
        <c:varyColors val="0"/>
        <c:ser>
          <c:idx val="0"/>
          <c:order val="0"/>
          <c:tx>
            <c:strRef>
              <c:f>'Expenses (2)'!$C$5</c:f>
              <c:strCache>
                <c:ptCount val="1"/>
                <c:pt idx="0">
                  <c:v>Estimated</c:v>
                </c:pt>
              </c:strCache>
            </c:strRef>
          </c:tx>
          <c:invertIfNegative val="0"/>
          <c:cat>
            <c:strRef>
              <c:f>('Expenses (2)'!$B$5,'Expenses (2)'!$B$12,'Expenses (2)'!$B$20,'Expenses (2)'!$B$26,'Expenses (2)'!$B$33,'Expenses (2)'!$B$40,'Expenses (2)'!$B$48)</c:f>
              <c:strCache>
                <c:ptCount val="7"/>
                <c:pt idx="0">
                  <c:v>Site</c:v>
                </c:pt>
                <c:pt idx="1">
                  <c:v>Decorations</c:v>
                </c:pt>
                <c:pt idx="2">
                  <c:v>Publicity</c:v>
                </c:pt>
                <c:pt idx="3">
                  <c:v>Miscellaneous</c:v>
                </c:pt>
                <c:pt idx="4">
                  <c:v>Refreshments</c:v>
                </c:pt>
                <c:pt idx="5">
                  <c:v>Program</c:v>
                </c:pt>
                <c:pt idx="6">
                  <c:v>Prizes</c:v>
                </c:pt>
              </c:strCache>
            </c:strRef>
          </c:cat>
          <c:val>
            <c:numRef>
              <c:f>('Expenses (2)'!$C$10,'Expenses (2)'!$C$18,'Expenses (2)'!$C$24,'Expenses (2)'!$C$31,'Expenses (2)'!$C$38,'Expenses (2)'!$C$46,'Expenses (2)'!$C$51)</c:f>
              <c:numCache>
                <c:formatCode>"$"#,##0.00_);[Red]\("$"#,##0.00\)</c:formatCode>
                <c:ptCount val="7"/>
                <c:pt idx="0">
                  <c:v>500</c:v>
                </c:pt>
                <c:pt idx="1">
                  <c:v>200</c:v>
                </c:pt>
                <c:pt idx="2">
                  <c:v>500</c:v>
                </c:pt>
                <c:pt idx="3">
                  <c:v>500</c:v>
                </c:pt>
                <c:pt idx="4">
                  <c:v>600</c:v>
                </c:pt>
                <c:pt idx="5">
                  <c:v>300</c:v>
                </c:pt>
                <c:pt idx="6">
                  <c:v>200</c:v>
                </c:pt>
              </c:numCache>
            </c:numRef>
          </c:val>
        </c:ser>
        <c:ser>
          <c:idx val="1"/>
          <c:order val="1"/>
          <c:tx>
            <c:strRef>
              <c:f>'Expenses (2)'!$D$5</c:f>
              <c:strCache>
                <c:ptCount val="1"/>
                <c:pt idx="0">
                  <c:v>Actual</c:v>
                </c:pt>
              </c:strCache>
            </c:strRef>
          </c:tx>
          <c:invertIfNegative val="0"/>
          <c:cat>
            <c:strRef>
              <c:f>('Expenses (2)'!$B$5,'Expenses (2)'!$B$12,'Expenses (2)'!$B$20,'Expenses (2)'!$B$26,'Expenses (2)'!$B$33,'Expenses (2)'!$B$40,'Expenses (2)'!$B$48)</c:f>
              <c:strCache>
                <c:ptCount val="7"/>
                <c:pt idx="0">
                  <c:v>Site</c:v>
                </c:pt>
                <c:pt idx="1">
                  <c:v>Decorations</c:v>
                </c:pt>
                <c:pt idx="2">
                  <c:v>Publicity</c:v>
                </c:pt>
                <c:pt idx="3">
                  <c:v>Miscellaneous</c:v>
                </c:pt>
                <c:pt idx="4">
                  <c:v>Refreshments</c:v>
                </c:pt>
                <c:pt idx="5">
                  <c:v>Program</c:v>
                </c:pt>
                <c:pt idx="6">
                  <c:v>Prizes</c:v>
                </c:pt>
              </c:strCache>
            </c:strRef>
          </c:cat>
          <c:val>
            <c:numRef>
              <c:f>('Expenses (2)'!$D$10,'Expenses (2)'!$D$18,'Expenses (2)'!$D$24,'Expenses (2)'!$D$31,'Expenses (2)'!$D$38,'Expenses (2)'!$D$46,'Expenses (2)'!$D$51)</c:f>
              <c:numCache>
                <c:formatCode>"$"#,##0.00_);[Red]\("$"#,##0.00\)</c:formatCode>
                <c:ptCount val="7"/>
                <c:pt idx="0">
                  <c:v>300</c:v>
                </c:pt>
                <c:pt idx="1">
                  <c:v>500</c:v>
                </c:pt>
                <c:pt idx="2">
                  <c:v>800</c:v>
                </c:pt>
                <c:pt idx="3">
                  <c:v>600</c:v>
                </c:pt>
                <c:pt idx="4">
                  <c:v>800</c:v>
                </c:pt>
                <c:pt idx="5">
                  <c:v>500</c:v>
                </c:pt>
                <c:pt idx="6">
                  <c:v>300</c:v>
                </c:pt>
              </c:numCache>
            </c:numRef>
          </c:val>
        </c:ser>
        <c:dLbls>
          <c:showLegendKey val="0"/>
          <c:showVal val="0"/>
          <c:showCatName val="0"/>
          <c:showSerName val="0"/>
          <c:showPercent val="0"/>
          <c:showBubbleSize val="0"/>
        </c:dLbls>
        <c:gapWidth val="150"/>
        <c:shape val="box"/>
        <c:axId val="632695496"/>
        <c:axId val="632697064"/>
        <c:axId val="0"/>
      </c:bar3DChart>
      <c:catAx>
        <c:axId val="632695496"/>
        <c:scaling>
          <c:orientation val="minMax"/>
        </c:scaling>
        <c:delete val="0"/>
        <c:axPos val="b"/>
        <c:numFmt formatCode="General" sourceLinked="0"/>
        <c:majorTickMark val="out"/>
        <c:minorTickMark val="none"/>
        <c:tickLblPos val="nextTo"/>
        <c:txPr>
          <a:bodyPr/>
          <a:lstStyle/>
          <a:p>
            <a:pPr>
              <a:defRPr>
                <a:solidFill>
                  <a:schemeClr val="tx1">
                    <a:lumMod val="50000"/>
                    <a:lumOff val="50000"/>
                  </a:schemeClr>
                </a:solidFill>
                <a:latin typeface="Verdana"/>
                <a:cs typeface="Verdana"/>
              </a:defRPr>
            </a:pPr>
            <a:endParaRPr lang="tr-TR"/>
          </a:p>
        </c:txPr>
        <c:crossAx val="632697064"/>
        <c:crosses val="autoZero"/>
        <c:auto val="1"/>
        <c:lblAlgn val="ctr"/>
        <c:lblOffset val="100"/>
        <c:noMultiLvlLbl val="0"/>
      </c:catAx>
      <c:valAx>
        <c:axId val="632697064"/>
        <c:scaling>
          <c:orientation val="minMax"/>
        </c:scaling>
        <c:delete val="0"/>
        <c:axPos val="l"/>
        <c:majorGridlines/>
        <c:numFmt formatCode="&quot;$&quot;#,##0.00_);[Red]\(&quot;$&quot;#,##0.00\)" sourceLinked="1"/>
        <c:majorTickMark val="out"/>
        <c:minorTickMark val="none"/>
        <c:tickLblPos val="nextTo"/>
        <c:txPr>
          <a:bodyPr/>
          <a:lstStyle/>
          <a:p>
            <a:pPr>
              <a:defRPr sz="900">
                <a:solidFill>
                  <a:schemeClr val="tx1">
                    <a:lumMod val="50000"/>
                    <a:lumOff val="50000"/>
                  </a:schemeClr>
                </a:solidFill>
                <a:latin typeface="Verdana"/>
                <a:cs typeface="Verdana"/>
              </a:defRPr>
            </a:pPr>
            <a:endParaRPr lang="tr-TR"/>
          </a:p>
        </c:txPr>
        <c:crossAx val="632695496"/>
        <c:crosses val="autoZero"/>
        <c:crossBetween val="between"/>
      </c:valAx>
    </c:plotArea>
    <c:legend>
      <c:legendPos val="r"/>
      <c:layout>
        <c:manualLayout>
          <c:xMode val="edge"/>
          <c:yMode val="edge"/>
          <c:x val="0.14740838885523946"/>
          <c:y val="0.91128820853915005"/>
          <c:w val="0.68913007268322279"/>
          <c:h val="6.6823097112860899E-2"/>
        </c:manualLayout>
      </c:layout>
      <c:overlay val="0"/>
      <c:txPr>
        <a:bodyPr/>
        <a:lstStyle/>
        <a:p>
          <a:pPr>
            <a:defRPr>
              <a:solidFill>
                <a:srgbClr val="7F7F7F"/>
              </a:solidFill>
              <a:latin typeface="Verdana"/>
              <a:cs typeface="Verdana"/>
            </a:defRPr>
          </a:pPr>
          <a:endParaRPr lang="tr-TR"/>
        </a:p>
      </c:txPr>
    </c:legend>
    <c:plotVisOnly val="1"/>
    <c:dispBlanksAs val="gap"/>
    <c:showDLblsOverMax val="0"/>
  </c:chart>
  <c:spPr>
    <a:noFill/>
    <a:ln>
      <a:noFill/>
    </a:ln>
  </c:spPr>
  <c:printSettings>
    <c:headerFooter/>
    <c:pageMargins b="1" l="0.75000000000000078" r="0.75000000000000078"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6"/>
    </mc:Choice>
    <mc:Fallback>
      <c:style val="36"/>
    </mc:Fallback>
  </mc:AlternateContent>
  <c:chart>
    <c:autoTitleDeleted val="1"/>
    <c:view3D>
      <c:rotX val="30"/>
      <c:rotY val="0"/>
      <c:rAngAx val="0"/>
    </c:view3D>
    <c:floor>
      <c:thickness val="0"/>
    </c:floor>
    <c:sideWall>
      <c:thickness val="0"/>
    </c:sideWall>
    <c:backWall>
      <c:thickness val="0"/>
    </c:backWall>
    <c:plotArea>
      <c:layout>
        <c:manualLayout>
          <c:layoutTarget val="inner"/>
          <c:xMode val="edge"/>
          <c:yMode val="edge"/>
          <c:x val="4.8545494313210836E-3"/>
          <c:y val="1.2820512820512803E-2"/>
          <c:w val="0.88899803149606305"/>
          <c:h val="0.92628205128205032"/>
        </c:manualLayout>
      </c:layout>
      <c:pie3DChart>
        <c:varyColors val="1"/>
        <c:ser>
          <c:idx val="0"/>
          <c:order val="0"/>
          <c:tx>
            <c:strRef>
              <c:f>'Expenses (2)'!$D$54</c:f>
              <c:strCache>
                <c:ptCount val="1"/>
                <c:pt idx="0">
                  <c:v>$3.800,00 </c:v>
                </c:pt>
              </c:strCache>
            </c:strRef>
          </c:tx>
          <c:spPr>
            <a:scene3d>
              <a:camera prst="orthographicFront"/>
              <a:lightRig rig="threePt" dir="t"/>
            </a:scene3d>
            <a:sp3d prstMaterial="matte">
              <a:contourClr>
                <a:srgbClr val="000000"/>
              </a:contourClr>
            </a:sp3d>
          </c:spPr>
          <c:dLbls>
            <c:dLbl>
              <c:idx val="0"/>
              <c:layout/>
              <c:showLegendKey val="0"/>
              <c:showVal val="0"/>
              <c:showCatName val="0"/>
              <c:showSerName val="0"/>
              <c:showPercent val="1"/>
              <c:showBubbleSize val="0"/>
              <c:extLst>
                <c:ext xmlns:c15="http://schemas.microsoft.com/office/drawing/2012/chart" uri="{CE6537A1-D6FC-4f65-9D91-7224C49458BB}">
                  <c15:layout/>
                </c:ext>
              </c:extLst>
            </c:dLbl>
            <c:dLbl>
              <c:idx val="1"/>
              <c:layout/>
              <c:showLegendKey val="0"/>
              <c:showVal val="0"/>
              <c:showCatName val="0"/>
              <c:showSerName val="0"/>
              <c:showPercent val="1"/>
              <c:showBubbleSize val="0"/>
              <c:extLst>
                <c:ext xmlns:c15="http://schemas.microsoft.com/office/drawing/2012/chart" uri="{CE6537A1-D6FC-4f65-9D91-7224C49458BB}">
                  <c15:layout/>
                </c:ext>
              </c:extLst>
            </c:dLbl>
            <c:dLbl>
              <c:idx val="2"/>
              <c:layout>
                <c:manualLayout>
                  <c:x val="-0.15352034120734917"/>
                  <c:y val="-0.10952173582803813"/>
                </c:manualLayout>
              </c:layout>
              <c:showLegendKey val="0"/>
              <c:showVal val="0"/>
              <c:showCatName val="0"/>
              <c:showSerName val="0"/>
              <c:showPercent val="1"/>
              <c:showBubbleSize val="0"/>
              <c:extLst>
                <c:ext xmlns:c15="http://schemas.microsoft.com/office/drawing/2012/chart" uri="{CE6537A1-D6FC-4f65-9D91-7224C49458BB}">
                  <c15:layout/>
                </c:ext>
              </c:extLst>
            </c:dLbl>
            <c:dLbl>
              <c:idx val="3"/>
              <c:layout>
                <c:manualLayout>
                  <c:x val="8.0191382327209182E-2"/>
                  <c:y val="-0.17877094690086801"/>
                </c:manualLayout>
              </c:layout>
              <c:showLegendKey val="0"/>
              <c:showVal val="0"/>
              <c:showCatName val="0"/>
              <c:showSerName val="0"/>
              <c:showPercent val="1"/>
              <c:showBubbleSize val="0"/>
              <c:extLst>
                <c:ext xmlns:c15="http://schemas.microsoft.com/office/drawing/2012/chart" uri="{CE6537A1-D6FC-4f65-9D91-7224C49458BB}">
                  <c15:layout/>
                </c:ext>
              </c:extLst>
            </c:dLbl>
            <c:dLbl>
              <c:idx val="4"/>
              <c:layout>
                <c:manualLayout>
                  <c:x val="0.15839916885389327"/>
                  <c:y val="-9.4823657492974125E-2"/>
                </c:manualLayout>
              </c:layout>
              <c:showLegendKey val="0"/>
              <c:showVal val="0"/>
              <c:showCatName val="0"/>
              <c:showSerName val="0"/>
              <c:showPercent val="1"/>
              <c:showBubbleSize val="0"/>
              <c:extLst>
                <c:ext xmlns:c15="http://schemas.microsoft.com/office/drawing/2012/chart" uri="{CE6537A1-D6FC-4f65-9D91-7224C49458BB}">
                  <c15:layout/>
                </c:ext>
              </c:extLst>
            </c:dLbl>
            <c:dLbl>
              <c:idx val="5"/>
              <c:layout>
                <c:manualLayout>
                  <c:x val="0.11592454068241512"/>
                  <c:y val="3.6157176494417312E-2"/>
                </c:manualLayout>
              </c:layout>
              <c:showLegendKey val="0"/>
              <c:showVal val="0"/>
              <c:showCatName val="0"/>
              <c:showSerName val="0"/>
              <c:showPercent val="1"/>
              <c:showBubbleSize val="0"/>
              <c:extLst>
                <c:ext xmlns:c15="http://schemas.microsoft.com/office/drawing/2012/chart" uri="{CE6537A1-D6FC-4f65-9D91-7224C49458BB}">
                  <c15:layout/>
                </c:ext>
              </c:extLst>
            </c:dLbl>
            <c:dLbl>
              <c:idx val="6"/>
              <c:layout/>
              <c:showLegendKey val="0"/>
              <c:showVal val="0"/>
              <c:showCatName val="0"/>
              <c:showSerName val="0"/>
              <c:showPercent val="1"/>
              <c:showBubbleSize val="0"/>
              <c:extLst>
                <c:ext xmlns:c15="http://schemas.microsoft.com/office/drawing/2012/chart" uri="{CE6537A1-D6FC-4f65-9D91-7224C49458BB}">
                  <c15:layout/>
                </c:ext>
              </c:extLst>
            </c:dLbl>
            <c:spPr>
              <a:noFill/>
              <a:ln>
                <a:noFill/>
              </a:ln>
              <a:effectLst/>
            </c:spPr>
            <c:txPr>
              <a:bodyPr/>
              <a:lstStyle/>
              <a:p>
                <a:pPr>
                  <a:defRPr>
                    <a:solidFill>
                      <a:schemeClr val="bg1"/>
                    </a:solidFill>
                    <a:latin typeface="Verdana"/>
                    <a:cs typeface="Verdana"/>
                  </a:defRPr>
                </a:pPr>
                <a:endParaRPr lang="tr-TR"/>
              </a:p>
            </c:txPr>
            <c:showLegendKey val="0"/>
            <c:showVal val="1"/>
            <c:showCatName val="0"/>
            <c:showSerName val="0"/>
            <c:showPercent val="0"/>
            <c:showBubbleSize val="0"/>
            <c:showLeaderLines val="1"/>
            <c:extLst>
              <c:ext xmlns:c15="http://schemas.microsoft.com/office/drawing/2012/chart" uri="{CE6537A1-D6FC-4f65-9D91-7224C49458BB}"/>
            </c:extLst>
          </c:dLbls>
          <c:cat>
            <c:strRef>
              <c:f>('Expenses (2)'!$B$5,'Expenses (2)'!$B$12,'Expenses (2)'!$B$20,'Expenses (2)'!$B$26,'Expenses (2)'!$B$33,'Expenses (2)'!$B$40,'Expenses (2)'!$B$48)</c:f>
              <c:strCache>
                <c:ptCount val="7"/>
                <c:pt idx="0">
                  <c:v>Site</c:v>
                </c:pt>
                <c:pt idx="1">
                  <c:v>Decorations</c:v>
                </c:pt>
                <c:pt idx="2">
                  <c:v>Publicity</c:v>
                </c:pt>
                <c:pt idx="3">
                  <c:v>Miscellaneous</c:v>
                </c:pt>
                <c:pt idx="4">
                  <c:v>Refreshments</c:v>
                </c:pt>
                <c:pt idx="5">
                  <c:v>Program</c:v>
                </c:pt>
                <c:pt idx="6">
                  <c:v>Prizes</c:v>
                </c:pt>
              </c:strCache>
            </c:strRef>
          </c:cat>
          <c:val>
            <c:numRef>
              <c:f>('Expenses (2)'!$D$10,'Expenses (2)'!$D$18,'Expenses (2)'!$D$24,'Expenses (2)'!$D$31,'Expenses (2)'!$D$38,'Expenses (2)'!$D$46,'Expenses (2)'!$D$51)</c:f>
              <c:numCache>
                <c:formatCode>"$"#,##0.00_);[Red]\("$"#,##0.00\)</c:formatCode>
                <c:ptCount val="7"/>
                <c:pt idx="0">
                  <c:v>300</c:v>
                </c:pt>
                <c:pt idx="1">
                  <c:v>500</c:v>
                </c:pt>
                <c:pt idx="2">
                  <c:v>800</c:v>
                </c:pt>
                <c:pt idx="3">
                  <c:v>600</c:v>
                </c:pt>
                <c:pt idx="4">
                  <c:v>800</c:v>
                </c:pt>
                <c:pt idx="5">
                  <c:v>500</c:v>
                </c:pt>
                <c:pt idx="6">
                  <c:v>300</c:v>
                </c:pt>
              </c:numCache>
            </c:numRef>
          </c:val>
        </c:ser>
        <c:dLbls>
          <c:showLegendKey val="0"/>
          <c:showVal val="0"/>
          <c:showCatName val="0"/>
          <c:showSerName val="0"/>
          <c:showPercent val="0"/>
          <c:showBubbleSize val="0"/>
          <c:showLeaderLines val="1"/>
        </c:dLbls>
      </c:pie3DChart>
    </c:plotArea>
    <c:legend>
      <c:legendPos val="r"/>
      <c:layout>
        <c:manualLayout>
          <c:xMode val="edge"/>
          <c:yMode val="edge"/>
          <c:x val="5.3072272215973014E-2"/>
          <c:y val="0.73577150211992792"/>
          <c:w val="0.79454668166479203"/>
          <c:h val="0.15116747425802501"/>
        </c:manualLayout>
      </c:layout>
      <c:overlay val="0"/>
      <c:txPr>
        <a:bodyPr/>
        <a:lstStyle/>
        <a:p>
          <a:pPr>
            <a:defRPr>
              <a:solidFill>
                <a:schemeClr val="bg1">
                  <a:lumMod val="50000"/>
                </a:schemeClr>
              </a:solidFill>
              <a:latin typeface="Verdana"/>
              <a:cs typeface="Verdana"/>
            </a:defRPr>
          </a:pPr>
          <a:endParaRPr lang="tr-TR"/>
        </a:p>
      </c:txPr>
    </c:legend>
    <c:plotVisOnly val="1"/>
    <c:dispBlanksAs val="gap"/>
    <c:showDLblsOverMax val="0"/>
  </c:chart>
  <c:spPr>
    <a:noFill/>
    <a:ln>
      <a:noFill/>
    </a:ln>
  </c:spPr>
  <c:printSettings>
    <c:headerFooter/>
    <c:pageMargins b="1" l="0.75000000000000078" r="0.75000000000000078"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0"/>
    <c:plotArea>
      <c:layout>
        <c:manualLayout>
          <c:layoutTarget val="inner"/>
          <c:xMode val="edge"/>
          <c:yMode val="edge"/>
          <c:x val="8.7915294250696219E-2"/>
          <c:y val="6.0731525791553061E-2"/>
          <c:w val="0.66407356423104458"/>
          <c:h val="0.81458539104668637"/>
        </c:manualLayout>
      </c:layout>
      <c:barChart>
        <c:barDir val="col"/>
        <c:grouping val="clustered"/>
        <c:varyColors val="0"/>
        <c:ser>
          <c:idx val="0"/>
          <c:order val="0"/>
          <c:tx>
            <c:v>PROJECTED</c:v>
          </c:tx>
          <c:spPr>
            <a:solidFill>
              <a:schemeClr val="accent1"/>
            </a:solidFill>
          </c:spPr>
          <c:invertIfNegative val="0"/>
          <c:cat>
            <c:strLit>
              <c:ptCount val="3"/>
              <c:pt idx="0">
                <c:v>TOTAL INCOME</c:v>
              </c:pt>
              <c:pt idx="1">
                <c:v> TOTAL EXPENSE</c:v>
              </c:pt>
              <c:pt idx="2">
                <c:v> TOTAL CASH FLOW</c:v>
              </c:pt>
            </c:strLit>
          </c:cat>
          <c:val>
            <c:numRef>
              <c:f>'Budget Planner'!$D$13:$D$15</c:f>
              <c:numCache>
                <c:formatCode>#,##0</c:formatCode>
                <c:ptCount val="3"/>
                <c:pt idx="0">
                  <c:v>5600</c:v>
                </c:pt>
                <c:pt idx="1">
                  <c:v>1195</c:v>
                </c:pt>
                <c:pt idx="2">
                  <c:v>4405</c:v>
                </c:pt>
              </c:numCache>
            </c:numRef>
          </c:val>
        </c:ser>
        <c:ser>
          <c:idx val="1"/>
          <c:order val="1"/>
          <c:tx>
            <c:v>ACTUAL</c:v>
          </c:tx>
          <c:spPr>
            <a:solidFill>
              <a:schemeClr val="accent1">
                <a:lumMod val="60000"/>
                <a:lumOff val="40000"/>
              </a:schemeClr>
            </a:solidFill>
          </c:spPr>
          <c:invertIfNegative val="0"/>
          <c:cat>
            <c:strLit>
              <c:ptCount val="3"/>
              <c:pt idx="0">
                <c:v>TOTAL INCOME</c:v>
              </c:pt>
              <c:pt idx="1">
                <c:v> TOTAL EXPENSE</c:v>
              </c:pt>
              <c:pt idx="2">
                <c:v> TOTAL CASH FLOW</c:v>
              </c:pt>
            </c:strLit>
          </c:cat>
          <c:val>
            <c:numRef>
              <c:f>'Budget Planner'!$E$13:$E$15</c:f>
              <c:numCache>
                <c:formatCode>#,##0</c:formatCode>
                <c:ptCount val="3"/>
                <c:pt idx="0">
                  <c:v>4700</c:v>
                </c:pt>
                <c:pt idx="1">
                  <c:v>737</c:v>
                </c:pt>
                <c:pt idx="2">
                  <c:v>3963</c:v>
                </c:pt>
              </c:numCache>
            </c:numRef>
          </c:val>
        </c:ser>
        <c:dLbls>
          <c:showLegendKey val="0"/>
          <c:showVal val="0"/>
          <c:showCatName val="0"/>
          <c:showSerName val="0"/>
          <c:showPercent val="0"/>
          <c:showBubbleSize val="0"/>
        </c:dLbls>
        <c:gapWidth val="150"/>
        <c:overlap val="-9"/>
        <c:axId val="314446840"/>
        <c:axId val="314444096"/>
      </c:barChart>
      <c:catAx>
        <c:axId val="314446840"/>
        <c:scaling>
          <c:orientation val="minMax"/>
        </c:scaling>
        <c:delete val="0"/>
        <c:axPos val="b"/>
        <c:numFmt formatCode="General" sourceLinked="0"/>
        <c:majorTickMark val="none"/>
        <c:minorTickMark val="none"/>
        <c:tickLblPos val="nextTo"/>
        <c:spPr>
          <a:ln w="12700">
            <a:solidFill>
              <a:schemeClr val="bg1">
                <a:lumMod val="75000"/>
              </a:schemeClr>
            </a:solidFill>
          </a:ln>
        </c:spPr>
        <c:txPr>
          <a:bodyPr/>
          <a:lstStyle/>
          <a:p>
            <a:pPr>
              <a:defRPr sz="900" b="0">
                <a:solidFill>
                  <a:schemeClr val="tx1">
                    <a:lumMod val="50000"/>
                    <a:lumOff val="50000"/>
                  </a:schemeClr>
                </a:solidFill>
              </a:defRPr>
            </a:pPr>
            <a:endParaRPr lang="tr-TR"/>
          </a:p>
        </c:txPr>
        <c:crossAx val="314444096"/>
        <c:crosses val="autoZero"/>
        <c:auto val="1"/>
        <c:lblAlgn val="ctr"/>
        <c:lblOffset val="100"/>
        <c:noMultiLvlLbl val="0"/>
      </c:catAx>
      <c:valAx>
        <c:axId val="314444096"/>
        <c:scaling>
          <c:orientation val="minMax"/>
        </c:scaling>
        <c:delete val="0"/>
        <c:axPos val="l"/>
        <c:numFmt formatCode="#,##0" sourceLinked="1"/>
        <c:majorTickMark val="none"/>
        <c:minorTickMark val="none"/>
        <c:tickLblPos val="nextTo"/>
        <c:spPr>
          <a:ln w="12700">
            <a:solidFill>
              <a:schemeClr val="bg1">
                <a:lumMod val="75000"/>
              </a:schemeClr>
            </a:solidFill>
          </a:ln>
        </c:spPr>
        <c:txPr>
          <a:bodyPr/>
          <a:lstStyle/>
          <a:p>
            <a:pPr>
              <a:defRPr sz="900">
                <a:solidFill>
                  <a:schemeClr val="tx1">
                    <a:lumMod val="50000"/>
                    <a:lumOff val="50000"/>
                  </a:schemeClr>
                </a:solidFill>
              </a:defRPr>
            </a:pPr>
            <a:endParaRPr lang="tr-TR"/>
          </a:p>
        </c:txPr>
        <c:crossAx val="314446840"/>
        <c:crosses val="autoZero"/>
        <c:crossBetween val="between"/>
      </c:valAx>
      <c:spPr>
        <a:noFill/>
      </c:spPr>
    </c:plotArea>
    <c:legend>
      <c:legendPos val="r"/>
      <c:layout>
        <c:manualLayout>
          <c:xMode val="edge"/>
          <c:yMode val="edge"/>
          <c:x val="0.7761371648482559"/>
          <c:y val="0.40341557231094538"/>
          <c:w val="0.21495463521843125"/>
          <c:h val="0.19316885537810918"/>
        </c:manualLayout>
      </c:layout>
      <c:overlay val="0"/>
      <c:txPr>
        <a:bodyPr/>
        <a:lstStyle/>
        <a:p>
          <a:pPr>
            <a:defRPr>
              <a:solidFill>
                <a:schemeClr val="tx1">
                  <a:lumMod val="50000"/>
                  <a:lumOff val="50000"/>
                </a:schemeClr>
              </a:solidFill>
            </a:defRPr>
          </a:pPr>
          <a:endParaRPr lang="tr-TR"/>
        </a:p>
      </c:txPr>
    </c:legend>
    <c:plotVisOnly val="1"/>
    <c:dispBlanksAs val="gap"/>
    <c:showDLblsOverMax val="0"/>
  </c:chart>
  <c:spPr>
    <a:noFill/>
    <a:ln>
      <a:no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Spin" dx="16" fmlaLink="period_selected" max="60" min="1" page="10"/>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95250</xdr:colOff>
      <xdr:row>4</xdr:row>
      <xdr:rowOff>0</xdr:rowOff>
    </xdr:from>
    <xdr:to>
      <xdr:col>5</xdr:col>
      <xdr:colOff>4410075</xdr:colOff>
      <xdr:row>34</xdr:row>
      <xdr:rowOff>142875</xdr:rowOff>
    </xdr:to>
    <xdr:graphicFrame macro="">
      <xdr:nvGraphicFramePr>
        <xdr:cNvPr id="2" name="Chart 1" descr="Column chart showing total income versus total expenses." title="Total profit char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9</xdr:row>
      <xdr:rowOff>0</xdr:rowOff>
    </xdr:from>
    <xdr:to>
      <xdr:col>4</xdr:col>
      <xdr:colOff>19050</xdr:colOff>
      <xdr:row>21</xdr:row>
      <xdr:rowOff>114300</xdr:rowOff>
    </xdr:to>
    <xdr:graphicFrame macro="">
      <xdr:nvGraphicFramePr>
        <xdr:cNvPr id="3" name="Chart 2" descr="Pie chart showing total income versus expenses of estimated totals only." title="Estimated char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22</xdr:row>
      <xdr:rowOff>19050</xdr:rowOff>
    </xdr:from>
    <xdr:to>
      <xdr:col>4</xdr:col>
      <xdr:colOff>19050</xdr:colOff>
      <xdr:row>34</xdr:row>
      <xdr:rowOff>133350</xdr:rowOff>
    </xdr:to>
    <xdr:graphicFrame macro="">
      <xdr:nvGraphicFramePr>
        <xdr:cNvPr id="4" name="Chart 3" descr="Pie chart showing total income versus expenses of actual totals only." title="Actual char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123825" y="609600"/>
    <xdr:ext cx="9639300" cy="6000750"/>
    <xdr:graphicFrame macro="">
      <xdr:nvGraphicFramePr>
        <xdr:cNvPr id="2" name="Pareto Chart" descr="Cost center data on a pareto chart." title="Pareto chart"/>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xdr:from>
      <xdr:col>9</xdr:col>
      <xdr:colOff>486835</xdr:colOff>
      <xdr:row>0</xdr:row>
      <xdr:rowOff>126996</xdr:rowOff>
    </xdr:from>
    <xdr:to>
      <xdr:col>15</xdr:col>
      <xdr:colOff>944030</xdr:colOff>
      <xdr:row>2</xdr:row>
      <xdr:rowOff>27195</xdr:rowOff>
    </xdr:to>
    <xdr:sp macro="" textlink="">
      <xdr:nvSpPr>
        <xdr:cNvPr id="2" name="Header Artwork" descr="Line drawing of tree and house" title="Budget Artwork"/>
        <xdr:cNvSpPr>
          <a:spLocks noChangeAspect="1" noEditPoints="1"/>
        </xdr:cNvSpPr>
      </xdr:nvSpPr>
      <xdr:spPr bwMode="auto">
        <a:xfrm>
          <a:off x="5973235" y="126996"/>
          <a:ext cx="3781420" cy="224049"/>
        </a:xfrm>
        <a:custGeom>
          <a:avLst/>
          <a:gdLst>
            <a:gd name="T0" fmla="*/ 1465 w 1650"/>
            <a:gd name="T1" fmla="*/ 151 h 173"/>
            <a:gd name="T2" fmla="*/ 1448 w 1650"/>
            <a:gd name="T3" fmla="*/ 156 h 173"/>
            <a:gd name="T4" fmla="*/ 1454 w 1650"/>
            <a:gd name="T5" fmla="*/ 139 h 173"/>
            <a:gd name="T6" fmla="*/ 1424 w 1650"/>
            <a:gd name="T7" fmla="*/ 164 h 173"/>
            <a:gd name="T8" fmla="*/ 1422 w 1650"/>
            <a:gd name="T9" fmla="*/ 105 h 173"/>
            <a:gd name="T10" fmla="*/ 1348 w 1650"/>
            <a:gd name="T11" fmla="*/ 39 h 173"/>
            <a:gd name="T12" fmla="*/ 1200 w 1650"/>
            <a:gd name="T13" fmla="*/ 80 h 173"/>
            <a:gd name="T14" fmla="*/ 1175 w 1650"/>
            <a:gd name="T15" fmla="*/ 116 h 173"/>
            <a:gd name="T16" fmla="*/ 1188 w 1650"/>
            <a:gd name="T17" fmla="*/ 165 h 173"/>
            <a:gd name="T18" fmla="*/ 1127 w 1650"/>
            <a:gd name="T19" fmla="*/ 153 h 173"/>
            <a:gd name="T20" fmla="*/ 1126 w 1650"/>
            <a:gd name="T21" fmla="*/ 136 h 173"/>
            <a:gd name="T22" fmla="*/ 1128 w 1650"/>
            <a:gd name="T23" fmla="*/ 127 h 173"/>
            <a:gd name="T24" fmla="*/ 1123 w 1650"/>
            <a:gd name="T25" fmla="*/ 110 h 173"/>
            <a:gd name="T26" fmla="*/ 1108 w 1650"/>
            <a:gd name="T27" fmla="*/ 85 h 173"/>
            <a:gd name="T28" fmla="*/ 1110 w 1650"/>
            <a:gd name="T29" fmla="*/ 72 h 173"/>
            <a:gd name="T30" fmla="*/ 1092 w 1650"/>
            <a:gd name="T31" fmla="*/ 38 h 173"/>
            <a:gd name="T32" fmla="*/ 1085 w 1650"/>
            <a:gd name="T33" fmla="*/ 32 h 173"/>
            <a:gd name="T34" fmla="*/ 1078 w 1650"/>
            <a:gd name="T35" fmla="*/ 12 h 173"/>
            <a:gd name="T36" fmla="*/ 1071 w 1650"/>
            <a:gd name="T37" fmla="*/ 13 h 173"/>
            <a:gd name="T38" fmla="*/ 1057 w 1650"/>
            <a:gd name="T39" fmla="*/ 36 h 173"/>
            <a:gd name="T40" fmla="*/ 1058 w 1650"/>
            <a:gd name="T41" fmla="*/ 44 h 173"/>
            <a:gd name="T42" fmla="*/ 1040 w 1650"/>
            <a:gd name="T43" fmla="*/ 72 h 173"/>
            <a:gd name="T44" fmla="*/ 1041 w 1650"/>
            <a:gd name="T45" fmla="*/ 80 h 173"/>
            <a:gd name="T46" fmla="*/ 1036 w 1650"/>
            <a:gd name="T47" fmla="*/ 100 h 173"/>
            <a:gd name="T48" fmla="*/ 1031 w 1650"/>
            <a:gd name="T49" fmla="*/ 106 h 173"/>
            <a:gd name="T50" fmla="*/ 1028 w 1650"/>
            <a:gd name="T51" fmla="*/ 133 h 173"/>
            <a:gd name="T52" fmla="*/ 1022 w 1650"/>
            <a:gd name="T53" fmla="*/ 149 h 173"/>
            <a:gd name="T54" fmla="*/ 534 w 1650"/>
            <a:gd name="T55" fmla="*/ 125 h 173"/>
            <a:gd name="T56" fmla="*/ 467 w 1650"/>
            <a:gd name="T57" fmla="*/ 128 h 173"/>
            <a:gd name="T58" fmla="*/ 1042 w 1650"/>
            <a:gd name="T59" fmla="*/ 148 h 173"/>
            <a:gd name="T60" fmla="*/ 1034 w 1650"/>
            <a:gd name="T61" fmla="*/ 134 h 173"/>
            <a:gd name="T62" fmla="*/ 1038 w 1650"/>
            <a:gd name="T63" fmla="*/ 107 h 173"/>
            <a:gd name="T64" fmla="*/ 1043 w 1650"/>
            <a:gd name="T65" fmla="*/ 102 h 173"/>
            <a:gd name="T66" fmla="*/ 1050 w 1650"/>
            <a:gd name="T67" fmla="*/ 80 h 173"/>
            <a:gd name="T68" fmla="*/ 1048 w 1650"/>
            <a:gd name="T69" fmla="*/ 71 h 173"/>
            <a:gd name="T70" fmla="*/ 1065 w 1650"/>
            <a:gd name="T71" fmla="*/ 44 h 173"/>
            <a:gd name="T72" fmla="*/ 1065 w 1650"/>
            <a:gd name="T73" fmla="*/ 36 h 173"/>
            <a:gd name="T74" fmla="*/ 1078 w 1650"/>
            <a:gd name="T75" fmla="*/ 25 h 173"/>
            <a:gd name="T76" fmla="*/ 1084 w 1650"/>
            <a:gd name="T77" fmla="*/ 38 h 173"/>
            <a:gd name="T78" fmla="*/ 1104 w 1650"/>
            <a:gd name="T79" fmla="*/ 75 h 173"/>
            <a:gd name="T80" fmla="*/ 1103 w 1650"/>
            <a:gd name="T81" fmla="*/ 87 h 173"/>
            <a:gd name="T82" fmla="*/ 1114 w 1650"/>
            <a:gd name="T83" fmla="*/ 117 h 173"/>
            <a:gd name="T84" fmla="*/ 1122 w 1650"/>
            <a:gd name="T85" fmla="*/ 128 h 173"/>
            <a:gd name="T86" fmla="*/ 1124 w 1650"/>
            <a:gd name="T87" fmla="*/ 147 h 173"/>
            <a:gd name="T88" fmla="*/ 1129 w 1650"/>
            <a:gd name="T89" fmla="*/ 169 h 173"/>
            <a:gd name="T90" fmla="*/ 1197 w 1650"/>
            <a:gd name="T91" fmla="*/ 169 h 173"/>
            <a:gd name="T92" fmla="*/ 1186 w 1650"/>
            <a:gd name="T93" fmla="*/ 108 h 173"/>
            <a:gd name="T94" fmla="*/ 1274 w 1650"/>
            <a:gd name="T95" fmla="*/ 21 h 173"/>
            <a:gd name="T96" fmla="*/ 1403 w 1650"/>
            <a:gd name="T97" fmla="*/ 102 h 173"/>
            <a:gd name="T98" fmla="*/ 1388 w 1650"/>
            <a:gd name="T99" fmla="*/ 118 h 173"/>
            <a:gd name="T100" fmla="*/ 1319 w 1650"/>
            <a:gd name="T101" fmla="*/ 162 h 173"/>
            <a:gd name="T102" fmla="*/ 1264 w 1650"/>
            <a:gd name="T103" fmla="*/ 170 h 173"/>
            <a:gd name="T104" fmla="*/ 1398 w 1650"/>
            <a:gd name="T105" fmla="*/ 170 h 173"/>
            <a:gd name="T106" fmla="*/ 1436 w 1650"/>
            <a:gd name="T107" fmla="*/ 157 h 173"/>
            <a:gd name="T108" fmla="*/ 1443 w 1650"/>
            <a:gd name="T109" fmla="*/ 163 h 173"/>
            <a:gd name="T110" fmla="*/ 1456 w 1650"/>
            <a:gd name="T111" fmla="*/ 166 h 173"/>
            <a:gd name="T112" fmla="*/ 1045 w 1650"/>
            <a:gd name="T113" fmla="*/ 74 h 173"/>
            <a:gd name="T114" fmla="*/ 1084 w 1650"/>
            <a:gd name="T115" fmla="*/ 30 h 173"/>
            <a:gd name="T116" fmla="*/ 1123 w 1650"/>
            <a:gd name="T117" fmla="*/ 130 h 173"/>
            <a:gd name="T118" fmla="*/ 1314 w 1650"/>
            <a:gd name="T119" fmla="*/ 165 h 17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Lst>
          <a:rect l="0" t="0" r="r" b="b"/>
          <a:pathLst>
            <a:path w="1650" h="173">
              <a:moveTo>
                <a:pt x="1535" y="157"/>
              </a:moveTo>
              <a:cubicBezTo>
                <a:pt x="1526" y="157"/>
                <a:pt x="1516" y="157"/>
                <a:pt x="1506" y="158"/>
              </a:cubicBezTo>
              <a:cubicBezTo>
                <a:pt x="1497" y="159"/>
                <a:pt x="1487" y="160"/>
                <a:pt x="1478" y="162"/>
              </a:cubicBezTo>
              <a:cubicBezTo>
                <a:pt x="1473" y="163"/>
                <a:pt x="1468" y="164"/>
                <a:pt x="1464" y="165"/>
              </a:cubicBezTo>
              <a:cubicBezTo>
                <a:pt x="1461" y="165"/>
                <a:pt x="1459" y="165"/>
                <a:pt x="1458" y="164"/>
              </a:cubicBezTo>
              <a:cubicBezTo>
                <a:pt x="1458" y="163"/>
                <a:pt x="1458" y="163"/>
                <a:pt x="1459" y="162"/>
              </a:cubicBezTo>
              <a:cubicBezTo>
                <a:pt x="1459" y="161"/>
                <a:pt x="1460" y="160"/>
                <a:pt x="1460" y="159"/>
              </a:cubicBezTo>
              <a:cubicBezTo>
                <a:pt x="1464" y="153"/>
                <a:pt x="1464" y="153"/>
                <a:pt x="1464" y="153"/>
              </a:cubicBezTo>
              <a:cubicBezTo>
                <a:pt x="1464" y="152"/>
                <a:pt x="1464" y="151"/>
                <a:pt x="1465" y="151"/>
              </a:cubicBezTo>
              <a:cubicBezTo>
                <a:pt x="1465" y="150"/>
                <a:pt x="1465" y="150"/>
                <a:pt x="1465" y="150"/>
              </a:cubicBezTo>
              <a:cubicBezTo>
                <a:pt x="1465" y="149"/>
                <a:pt x="1465" y="149"/>
                <a:pt x="1465" y="148"/>
              </a:cubicBezTo>
              <a:cubicBezTo>
                <a:pt x="1464" y="146"/>
                <a:pt x="1463" y="146"/>
                <a:pt x="1462" y="146"/>
              </a:cubicBezTo>
              <a:cubicBezTo>
                <a:pt x="1462" y="146"/>
                <a:pt x="1461" y="147"/>
                <a:pt x="1461" y="147"/>
              </a:cubicBezTo>
              <a:cubicBezTo>
                <a:pt x="1460" y="147"/>
                <a:pt x="1460" y="148"/>
                <a:pt x="1459" y="148"/>
              </a:cubicBezTo>
              <a:cubicBezTo>
                <a:pt x="1455" y="151"/>
                <a:pt x="1452" y="155"/>
                <a:pt x="1448" y="158"/>
              </a:cubicBezTo>
              <a:cubicBezTo>
                <a:pt x="1448" y="158"/>
                <a:pt x="1447" y="159"/>
                <a:pt x="1446" y="159"/>
              </a:cubicBezTo>
              <a:cubicBezTo>
                <a:pt x="1446" y="159"/>
                <a:pt x="1446" y="159"/>
                <a:pt x="1447" y="159"/>
              </a:cubicBezTo>
              <a:cubicBezTo>
                <a:pt x="1447" y="158"/>
                <a:pt x="1448" y="157"/>
                <a:pt x="1448" y="156"/>
              </a:cubicBezTo>
              <a:cubicBezTo>
                <a:pt x="1451" y="152"/>
                <a:pt x="1454" y="149"/>
                <a:pt x="1457" y="144"/>
              </a:cubicBezTo>
              <a:cubicBezTo>
                <a:pt x="1457" y="144"/>
                <a:pt x="1458" y="143"/>
                <a:pt x="1458" y="142"/>
              </a:cubicBezTo>
              <a:cubicBezTo>
                <a:pt x="1458" y="141"/>
                <a:pt x="1458" y="140"/>
                <a:pt x="1457" y="140"/>
              </a:cubicBezTo>
              <a:cubicBezTo>
                <a:pt x="1457" y="139"/>
                <a:pt x="1456" y="139"/>
                <a:pt x="1456" y="139"/>
              </a:cubicBezTo>
              <a:cubicBezTo>
                <a:pt x="1455" y="139"/>
                <a:pt x="1455" y="139"/>
                <a:pt x="1455" y="139"/>
              </a:cubicBezTo>
              <a:cubicBezTo>
                <a:pt x="1455" y="139"/>
                <a:pt x="1455" y="139"/>
                <a:pt x="1455" y="139"/>
              </a:cubicBezTo>
              <a:cubicBezTo>
                <a:pt x="1455" y="139"/>
                <a:pt x="1455" y="139"/>
                <a:pt x="1455" y="139"/>
              </a:cubicBezTo>
              <a:cubicBezTo>
                <a:pt x="1455" y="139"/>
                <a:pt x="1455" y="139"/>
                <a:pt x="1455" y="139"/>
              </a:cubicBezTo>
              <a:cubicBezTo>
                <a:pt x="1454" y="139"/>
                <a:pt x="1455" y="139"/>
                <a:pt x="1454" y="139"/>
              </a:cubicBezTo>
              <a:cubicBezTo>
                <a:pt x="1454" y="139"/>
                <a:pt x="1454" y="139"/>
                <a:pt x="1454" y="139"/>
              </a:cubicBezTo>
              <a:cubicBezTo>
                <a:pt x="1453" y="139"/>
                <a:pt x="1451" y="139"/>
                <a:pt x="1450" y="140"/>
              </a:cubicBezTo>
              <a:cubicBezTo>
                <a:pt x="1448" y="141"/>
                <a:pt x="1446" y="142"/>
                <a:pt x="1444" y="144"/>
              </a:cubicBezTo>
              <a:cubicBezTo>
                <a:pt x="1440" y="147"/>
                <a:pt x="1436" y="150"/>
                <a:pt x="1433" y="154"/>
              </a:cubicBezTo>
              <a:cubicBezTo>
                <a:pt x="1431" y="156"/>
                <a:pt x="1429" y="158"/>
                <a:pt x="1428" y="160"/>
              </a:cubicBezTo>
              <a:cubicBezTo>
                <a:pt x="1426" y="162"/>
                <a:pt x="1426" y="162"/>
                <a:pt x="1426" y="162"/>
              </a:cubicBezTo>
              <a:cubicBezTo>
                <a:pt x="1424" y="164"/>
                <a:pt x="1424" y="164"/>
                <a:pt x="1424" y="164"/>
              </a:cubicBezTo>
              <a:cubicBezTo>
                <a:pt x="1424" y="164"/>
                <a:pt x="1424" y="164"/>
                <a:pt x="1424" y="164"/>
              </a:cubicBezTo>
              <a:cubicBezTo>
                <a:pt x="1424" y="164"/>
                <a:pt x="1424" y="164"/>
                <a:pt x="1424" y="164"/>
              </a:cubicBezTo>
              <a:cubicBezTo>
                <a:pt x="1423" y="164"/>
                <a:pt x="1420" y="164"/>
                <a:pt x="1418" y="164"/>
              </a:cubicBezTo>
              <a:cubicBezTo>
                <a:pt x="1411" y="164"/>
                <a:pt x="1411" y="164"/>
                <a:pt x="1411" y="164"/>
              </a:cubicBezTo>
              <a:cubicBezTo>
                <a:pt x="1398" y="164"/>
                <a:pt x="1398" y="164"/>
                <a:pt x="1398" y="164"/>
              </a:cubicBezTo>
              <a:cubicBezTo>
                <a:pt x="1396" y="149"/>
                <a:pt x="1395" y="133"/>
                <a:pt x="1394" y="118"/>
              </a:cubicBezTo>
              <a:cubicBezTo>
                <a:pt x="1394" y="112"/>
                <a:pt x="1394" y="112"/>
                <a:pt x="1394" y="112"/>
              </a:cubicBezTo>
              <a:cubicBezTo>
                <a:pt x="1394" y="110"/>
                <a:pt x="1394" y="110"/>
                <a:pt x="1394" y="110"/>
              </a:cubicBezTo>
              <a:cubicBezTo>
                <a:pt x="1397" y="109"/>
                <a:pt x="1401" y="109"/>
                <a:pt x="1404" y="108"/>
              </a:cubicBezTo>
              <a:cubicBezTo>
                <a:pt x="1408" y="108"/>
                <a:pt x="1412" y="107"/>
                <a:pt x="1416" y="106"/>
              </a:cubicBezTo>
              <a:cubicBezTo>
                <a:pt x="1418" y="106"/>
                <a:pt x="1420" y="105"/>
                <a:pt x="1422" y="105"/>
              </a:cubicBezTo>
              <a:cubicBezTo>
                <a:pt x="1422" y="104"/>
                <a:pt x="1423" y="104"/>
                <a:pt x="1424" y="104"/>
              </a:cubicBezTo>
              <a:cubicBezTo>
                <a:pt x="1424" y="104"/>
                <a:pt x="1424" y="104"/>
                <a:pt x="1425" y="103"/>
              </a:cubicBezTo>
              <a:cubicBezTo>
                <a:pt x="1425" y="103"/>
                <a:pt x="1426" y="102"/>
                <a:pt x="1426" y="102"/>
              </a:cubicBezTo>
              <a:cubicBezTo>
                <a:pt x="1426" y="101"/>
                <a:pt x="1426" y="100"/>
                <a:pt x="1426" y="100"/>
              </a:cubicBezTo>
              <a:cubicBezTo>
                <a:pt x="1426" y="98"/>
                <a:pt x="1425" y="98"/>
                <a:pt x="1425" y="97"/>
              </a:cubicBezTo>
              <a:cubicBezTo>
                <a:pt x="1424" y="97"/>
                <a:pt x="1424" y="96"/>
                <a:pt x="1424" y="96"/>
              </a:cubicBezTo>
              <a:cubicBezTo>
                <a:pt x="1417" y="90"/>
                <a:pt x="1411" y="86"/>
                <a:pt x="1405" y="81"/>
              </a:cubicBezTo>
              <a:cubicBezTo>
                <a:pt x="1398" y="77"/>
                <a:pt x="1392" y="72"/>
                <a:pt x="1386" y="67"/>
              </a:cubicBezTo>
              <a:cubicBezTo>
                <a:pt x="1374" y="58"/>
                <a:pt x="1361" y="49"/>
                <a:pt x="1348" y="39"/>
              </a:cubicBezTo>
              <a:cubicBezTo>
                <a:pt x="1336" y="31"/>
                <a:pt x="1326" y="18"/>
                <a:pt x="1313" y="8"/>
              </a:cubicBezTo>
              <a:cubicBezTo>
                <a:pt x="1310" y="6"/>
                <a:pt x="1307" y="4"/>
                <a:pt x="1303" y="2"/>
              </a:cubicBezTo>
              <a:cubicBezTo>
                <a:pt x="1298" y="0"/>
                <a:pt x="1293" y="1"/>
                <a:pt x="1289" y="2"/>
              </a:cubicBezTo>
              <a:cubicBezTo>
                <a:pt x="1281" y="6"/>
                <a:pt x="1275" y="12"/>
                <a:pt x="1269" y="17"/>
              </a:cubicBezTo>
              <a:cubicBezTo>
                <a:pt x="1267" y="20"/>
                <a:pt x="1264" y="23"/>
                <a:pt x="1261" y="25"/>
              </a:cubicBezTo>
              <a:cubicBezTo>
                <a:pt x="1253" y="33"/>
                <a:pt x="1253" y="33"/>
                <a:pt x="1253" y="33"/>
              </a:cubicBezTo>
              <a:cubicBezTo>
                <a:pt x="1235" y="49"/>
                <a:pt x="1235" y="49"/>
                <a:pt x="1235" y="49"/>
              </a:cubicBezTo>
              <a:cubicBezTo>
                <a:pt x="1218" y="64"/>
                <a:pt x="1218" y="64"/>
                <a:pt x="1218" y="64"/>
              </a:cubicBezTo>
              <a:cubicBezTo>
                <a:pt x="1212" y="70"/>
                <a:pt x="1206" y="75"/>
                <a:pt x="1200" y="80"/>
              </a:cubicBezTo>
              <a:cubicBezTo>
                <a:pt x="1194" y="85"/>
                <a:pt x="1188" y="90"/>
                <a:pt x="1182" y="95"/>
              </a:cubicBezTo>
              <a:cubicBezTo>
                <a:pt x="1179" y="98"/>
                <a:pt x="1176" y="100"/>
                <a:pt x="1174" y="103"/>
              </a:cubicBezTo>
              <a:cubicBezTo>
                <a:pt x="1172" y="105"/>
                <a:pt x="1171" y="106"/>
                <a:pt x="1169" y="108"/>
              </a:cubicBezTo>
              <a:cubicBezTo>
                <a:pt x="1169" y="109"/>
                <a:pt x="1169" y="109"/>
                <a:pt x="1168" y="110"/>
              </a:cubicBezTo>
              <a:cubicBezTo>
                <a:pt x="1168" y="111"/>
                <a:pt x="1168" y="111"/>
                <a:pt x="1168" y="113"/>
              </a:cubicBezTo>
              <a:cubicBezTo>
                <a:pt x="1169" y="113"/>
                <a:pt x="1170" y="114"/>
                <a:pt x="1169" y="114"/>
              </a:cubicBezTo>
              <a:cubicBezTo>
                <a:pt x="1169" y="114"/>
                <a:pt x="1170" y="115"/>
                <a:pt x="1170" y="115"/>
              </a:cubicBezTo>
              <a:cubicBezTo>
                <a:pt x="1170" y="115"/>
                <a:pt x="1170" y="115"/>
                <a:pt x="1170" y="115"/>
              </a:cubicBezTo>
              <a:cubicBezTo>
                <a:pt x="1172" y="116"/>
                <a:pt x="1173" y="116"/>
                <a:pt x="1175" y="116"/>
              </a:cubicBezTo>
              <a:cubicBezTo>
                <a:pt x="1179" y="116"/>
                <a:pt x="1183" y="115"/>
                <a:pt x="1187" y="114"/>
              </a:cubicBezTo>
              <a:cubicBezTo>
                <a:pt x="1188" y="114"/>
                <a:pt x="1190" y="114"/>
                <a:pt x="1191" y="114"/>
              </a:cubicBezTo>
              <a:cubicBezTo>
                <a:pt x="1191" y="114"/>
                <a:pt x="1191" y="114"/>
                <a:pt x="1192" y="115"/>
              </a:cubicBezTo>
              <a:cubicBezTo>
                <a:pt x="1192" y="115"/>
                <a:pt x="1192" y="115"/>
                <a:pt x="1192" y="115"/>
              </a:cubicBezTo>
              <a:cubicBezTo>
                <a:pt x="1192" y="115"/>
                <a:pt x="1192" y="116"/>
                <a:pt x="1192" y="117"/>
              </a:cubicBezTo>
              <a:cubicBezTo>
                <a:pt x="1194" y="123"/>
                <a:pt x="1194" y="131"/>
                <a:pt x="1194" y="139"/>
              </a:cubicBezTo>
              <a:cubicBezTo>
                <a:pt x="1194" y="147"/>
                <a:pt x="1194" y="155"/>
                <a:pt x="1193" y="162"/>
              </a:cubicBezTo>
              <a:cubicBezTo>
                <a:pt x="1193" y="163"/>
                <a:pt x="1193" y="164"/>
                <a:pt x="1193" y="164"/>
              </a:cubicBezTo>
              <a:cubicBezTo>
                <a:pt x="1191" y="165"/>
                <a:pt x="1190" y="165"/>
                <a:pt x="1188" y="165"/>
              </a:cubicBezTo>
              <a:cubicBezTo>
                <a:pt x="1184" y="165"/>
                <a:pt x="1180" y="164"/>
                <a:pt x="1176" y="164"/>
              </a:cubicBezTo>
              <a:cubicBezTo>
                <a:pt x="1172" y="164"/>
                <a:pt x="1169" y="164"/>
                <a:pt x="1165" y="164"/>
              </a:cubicBezTo>
              <a:cubicBezTo>
                <a:pt x="1153" y="164"/>
                <a:pt x="1153" y="164"/>
                <a:pt x="1153" y="164"/>
              </a:cubicBezTo>
              <a:cubicBezTo>
                <a:pt x="1130" y="163"/>
                <a:pt x="1130" y="163"/>
                <a:pt x="1130" y="163"/>
              </a:cubicBezTo>
              <a:cubicBezTo>
                <a:pt x="1086" y="162"/>
                <a:pt x="1086" y="162"/>
                <a:pt x="1086" y="162"/>
              </a:cubicBezTo>
              <a:cubicBezTo>
                <a:pt x="1085" y="155"/>
                <a:pt x="1085" y="155"/>
                <a:pt x="1085" y="155"/>
              </a:cubicBezTo>
              <a:cubicBezTo>
                <a:pt x="1108" y="154"/>
                <a:pt x="1108" y="154"/>
                <a:pt x="1108" y="154"/>
              </a:cubicBezTo>
              <a:cubicBezTo>
                <a:pt x="1121" y="154"/>
                <a:pt x="1121" y="154"/>
                <a:pt x="1121" y="154"/>
              </a:cubicBezTo>
              <a:cubicBezTo>
                <a:pt x="1123" y="154"/>
                <a:pt x="1125" y="153"/>
                <a:pt x="1127" y="153"/>
              </a:cubicBezTo>
              <a:cubicBezTo>
                <a:pt x="1128" y="153"/>
                <a:pt x="1128" y="153"/>
                <a:pt x="1128" y="153"/>
              </a:cubicBezTo>
              <a:cubicBezTo>
                <a:pt x="1128" y="153"/>
                <a:pt x="1128" y="153"/>
                <a:pt x="1128" y="153"/>
              </a:cubicBezTo>
              <a:cubicBezTo>
                <a:pt x="1128" y="153"/>
                <a:pt x="1129" y="153"/>
                <a:pt x="1130" y="152"/>
              </a:cubicBezTo>
              <a:cubicBezTo>
                <a:pt x="1131" y="151"/>
                <a:pt x="1130" y="153"/>
                <a:pt x="1131" y="150"/>
              </a:cubicBezTo>
              <a:cubicBezTo>
                <a:pt x="1131" y="149"/>
                <a:pt x="1131" y="149"/>
                <a:pt x="1131" y="149"/>
              </a:cubicBezTo>
              <a:cubicBezTo>
                <a:pt x="1130" y="148"/>
                <a:pt x="1130" y="147"/>
                <a:pt x="1130" y="147"/>
              </a:cubicBezTo>
              <a:cubicBezTo>
                <a:pt x="1130" y="146"/>
                <a:pt x="1129" y="144"/>
                <a:pt x="1129" y="143"/>
              </a:cubicBezTo>
              <a:cubicBezTo>
                <a:pt x="1128" y="141"/>
                <a:pt x="1127" y="140"/>
                <a:pt x="1127" y="138"/>
              </a:cubicBezTo>
              <a:cubicBezTo>
                <a:pt x="1126" y="136"/>
                <a:pt x="1126" y="136"/>
                <a:pt x="1126" y="136"/>
              </a:cubicBezTo>
              <a:cubicBezTo>
                <a:pt x="1126" y="136"/>
                <a:pt x="1126" y="136"/>
                <a:pt x="1126" y="136"/>
              </a:cubicBezTo>
              <a:cubicBezTo>
                <a:pt x="1126" y="136"/>
                <a:pt x="1126" y="135"/>
                <a:pt x="1127" y="134"/>
              </a:cubicBezTo>
              <a:cubicBezTo>
                <a:pt x="1127" y="133"/>
                <a:pt x="1128" y="132"/>
                <a:pt x="1129" y="130"/>
              </a:cubicBezTo>
              <a:cubicBezTo>
                <a:pt x="1129" y="130"/>
                <a:pt x="1129" y="129"/>
                <a:pt x="1129" y="129"/>
              </a:cubicBezTo>
              <a:cubicBezTo>
                <a:pt x="1129" y="129"/>
                <a:pt x="1129" y="129"/>
                <a:pt x="1129" y="129"/>
              </a:cubicBezTo>
              <a:cubicBezTo>
                <a:pt x="1128" y="128"/>
                <a:pt x="1129" y="128"/>
                <a:pt x="1129" y="128"/>
              </a:cubicBezTo>
              <a:cubicBezTo>
                <a:pt x="1128" y="128"/>
                <a:pt x="1128" y="128"/>
                <a:pt x="1128" y="128"/>
              </a:cubicBezTo>
              <a:cubicBezTo>
                <a:pt x="1128" y="128"/>
                <a:pt x="1128" y="128"/>
                <a:pt x="1128" y="128"/>
              </a:cubicBezTo>
              <a:cubicBezTo>
                <a:pt x="1128" y="127"/>
                <a:pt x="1128" y="127"/>
                <a:pt x="1128" y="127"/>
              </a:cubicBezTo>
              <a:cubicBezTo>
                <a:pt x="1128" y="126"/>
                <a:pt x="1127" y="126"/>
                <a:pt x="1127" y="125"/>
              </a:cubicBezTo>
              <a:cubicBezTo>
                <a:pt x="1125" y="123"/>
                <a:pt x="1125" y="123"/>
                <a:pt x="1125" y="123"/>
              </a:cubicBezTo>
              <a:cubicBezTo>
                <a:pt x="1125" y="122"/>
                <a:pt x="1125" y="122"/>
                <a:pt x="1125" y="121"/>
              </a:cubicBezTo>
              <a:cubicBezTo>
                <a:pt x="1124" y="121"/>
                <a:pt x="1125" y="121"/>
                <a:pt x="1124" y="120"/>
              </a:cubicBezTo>
              <a:cubicBezTo>
                <a:pt x="1123" y="118"/>
                <a:pt x="1122" y="117"/>
                <a:pt x="1121" y="117"/>
              </a:cubicBezTo>
              <a:cubicBezTo>
                <a:pt x="1121" y="116"/>
                <a:pt x="1121" y="116"/>
                <a:pt x="1120" y="116"/>
              </a:cubicBezTo>
              <a:cubicBezTo>
                <a:pt x="1121" y="116"/>
                <a:pt x="1121" y="116"/>
                <a:pt x="1121" y="115"/>
              </a:cubicBezTo>
              <a:cubicBezTo>
                <a:pt x="1122" y="114"/>
                <a:pt x="1122" y="114"/>
                <a:pt x="1123" y="111"/>
              </a:cubicBezTo>
              <a:cubicBezTo>
                <a:pt x="1123" y="111"/>
                <a:pt x="1123" y="110"/>
                <a:pt x="1123" y="110"/>
              </a:cubicBezTo>
              <a:cubicBezTo>
                <a:pt x="1123" y="110"/>
                <a:pt x="1123" y="110"/>
                <a:pt x="1123" y="110"/>
              </a:cubicBezTo>
              <a:cubicBezTo>
                <a:pt x="1123" y="109"/>
                <a:pt x="1123" y="109"/>
                <a:pt x="1123" y="109"/>
              </a:cubicBezTo>
              <a:cubicBezTo>
                <a:pt x="1123" y="109"/>
                <a:pt x="1123" y="109"/>
                <a:pt x="1123" y="109"/>
              </a:cubicBezTo>
              <a:cubicBezTo>
                <a:pt x="1123" y="108"/>
                <a:pt x="1123" y="108"/>
                <a:pt x="1123" y="108"/>
              </a:cubicBezTo>
              <a:cubicBezTo>
                <a:pt x="1122" y="108"/>
                <a:pt x="1122" y="107"/>
                <a:pt x="1122" y="106"/>
              </a:cubicBezTo>
              <a:cubicBezTo>
                <a:pt x="1121" y="105"/>
                <a:pt x="1121" y="104"/>
                <a:pt x="1120" y="103"/>
              </a:cubicBezTo>
              <a:cubicBezTo>
                <a:pt x="1119" y="101"/>
                <a:pt x="1118" y="100"/>
                <a:pt x="1117" y="98"/>
              </a:cubicBezTo>
              <a:cubicBezTo>
                <a:pt x="1114" y="94"/>
                <a:pt x="1112" y="91"/>
                <a:pt x="1110" y="87"/>
              </a:cubicBezTo>
              <a:cubicBezTo>
                <a:pt x="1109" y="86"/>
                <a:pt x="1109" y="86"/>
                <a:pt x="1108" y="85"/>
              </a:cubicBezTo>
              <a:cubicBezTo>
                <a:pt x="1108" y="84"/>
                <a:pt x="1108" y="84"/>
                <a:pt x="1108" y="84"/>
              </a:cubicBezTo>
              <a:cubicBezTo>
                <a:pt x="1108" y="84"/>
                <a:pt x="1108" y="84"/>
                <a:pt x="1108" y="83"/>
              </a:cubicBezTo>
              <a:cubicBezTo>
                <a:pt x="1108" y="82"/>
                <a:pt x="1110" y="81"/>
                <a:pt x="1110" y="77"/>
              </a:cubicBezTo>
              <a:cubicBezTo>
                <a:pt x="1111" y="77"/>
                <a:pt x="1111" y="76"/>
                <a:pt x="1111" y="76"/>
              </a:cubicBezTo>
              <a:cubicBezTo>
                <a:pt x="1111" y="76"/>
                <a:pt x="1110" y="75"/>
                <a:pt x="1110" y="74"/>
              </a:cubicBezTo>
              <a:cubicBezTo>
                <a:pt x="1110" y="74"/>
                <a:pt x="1110" y="74"/>
                <a:pt x="1110" y="74"/>
              </a:cubicBezTo>
              <a:cubicBezTo>
                <a:pt x="1110" y="74"/>
                <a:pt x="1110" y="74"/>
                <a:pt x="1110" y="74"/>
              </a:cubicBezTo>
              <a:cubicBezTo>
                <a:pt x="1110" y="73"/>
                <a:pt x="1110" y="73"/>
                <a:pt x="1110" y="73"/>
              </a:cubicBezTo>
              <a:cubicBezTo>
                <a:pt x="1110" y="72"/>
                <a:pt x="1110" y="72"/>
                <a:pt x="1110" y="72"/>
              </a:cubicBezTo>
              <a:cubicBezTo>
                <a:pt x="1109" y="71"/>
                <a:pt x="1108" y="70"/>
                <a:pt x="1108" y="69"/>
              </a:cubicBezTo>
              <a:cubicBezTo>
                <a:pt x="1106" y="67"/>
                <a:pt x="1105" y="66"/>
                <a:pt x="1104" y="64"/>
              </a:cubicBezTo>
              <a:cubicBezTo>
                <a:pt x="1103" y="62"/>
                <a:pt x="1101" y="61"/>
                <a:pt x="1101" y="59"/>
              </a:cubicBezTo>
              <a:cubicBezTo>
                <a:pt x="1099" y="56"/>
                <a:pt x="1097" y="55"/>
                <a:pt x="1096" y="53"/>
              </a:cubicBezTo>
              <a:cubicBezTo>
                <a:pt x="1094" y="52"/>
                <a:pt x="1092" y="51"/>
                <a:pt x="1092" y="50"/>
              </a:cubicBezTo>
              <a:cubicBezTo>
                <a:pt x="1091" y="49"/>
                <a:pt x="1090" y="46"/>
                <a:pt x="1090" y="45"/>
              </a:cubicBezTo>
              <a:cubicBezTo>
                <a:pt x="1090" y="44"/>
                <a:pt x="1090" y="43"/>
                <a:pt x="1090" y="42"/>
              </a:cubicBezTo>
              <a:cubicBezTo>
                <a:pt x="1090" y="42"/>
                <a:pt x="1090" y="42"/>
                <a:pt x="1090" y="42"/>
              </a:cubicBezTo>
              <a:cubicBezTo>
                <a:pt x="1091" y="42"/>
                <a:pt x="1092" y="40"/>
                <a:pt x="1092" y="38"/>
              </a:cubicBezTo>
              <a:cubicBezTo>
                <a:pt x="1092" y="38"/>
                <a:pt x="1092" y="37"/>
                <a:pt x="1091" y="37"/>
              </a:cubicBezTo>
              <a:cubicBezTo>
                <a:pt x="1091" y="37"/>
                <a:pt x="1091" y="37"/>
                <a:pt x="1091" y="37"/>
              </a:cubicBezTo>
              <a:cubicBezTo>
                <a:pt x="1091" y="36"/>
                <a:pt x="1091" y="36"/>
                <a:pt x="1090" y="36"/>
              </a:cubicBezTo>
              <a:cubicBezTo>
                <a:pt x="1088" y="34"/>
                <a:pt x="1088" y="34"/>
                <a:pt x="1088" y="34"/>
              </a:cubicBezTo>
              <a:cubicBezTo>
                <a:pt x="1087" y="33"/>
                <a:pt x="1086" y="33"/>
                <a:pt x="1086" y="32"/>
              </a:cubicBezTo>
              <a:cubicBezTo>
                <a:pt x="1085" y="32"/>
                <a:pt x="1085" y="32"/>
                <a:pt x="1085" y="32"/>
              </a:cubicBezTo>
              <a:cubicBezTo>
                <a:pt x="1085" y="32"/>
                <a:pt x="1085" y="32"/>
                <a:pt x="1085" y="32"/>
              </a:cubicBezTo>
              <a:cubicBezTo>
                <a:pt x="1085" y="32"/>
                <a:pt x="1085" y="32"/>
                <a:pt x="1085" y="32"/>
              </a:cubicBezTo>
              <a:cubicBezTo>
                <a:pt x="1085" y="32"/>
                <a:pt x="1085" y="32"/>
                <a:pt x="1085" y="32"/>
              </a:cubicBezTo>
              <a:cubicBezTo>
                <a:pt x="1085" y="31"/>
                <a:pt x="1085" y="31"/>
                <a:pt x="1085" y="31"/>
              </a:cubicBezTo>
              <a:cubicBezTo>
                <a:pt x="1085" y="30"/>
                <a:pt x="1085" y="30"/>
                <a:pt x="1085" y="29"/>
              </a:cubicBezTo>
              <a:cubicBezTo>
                <a:pt x="1085" y="29"/>
                <a:pt x="1085" y="29"/>
                <a:pt x="1086" y="28"/>
              </a:cubicBezTo>
              <a:cubicBezTo>
                <a:pt x="1086" y="28"/>
                <a:pt x="1086" y="26"/>
                <a:pt x="1086" y="25"/>
              </a:cubicBezTo>
              <a:cubicBezTo>
                <a:pt x="1086" y="25"/>
                <a:pt x="1086" y="24"/>
                <a:pt x="1085" y="24"/>
              </a:cubicBezTo>
              <a:cubicBezTo>
                <a:pt x="1084" y="22"/>
                <a:pt x="1083" y="22"/>
                <a:pt x="1083" y="21"/>
              </a:cubicBezTo>
              <a:cubicBezTo>
                <a:pt x="1083" y="21"/>
                <a:pt x="1082" y="20"/>
                <a:pt x="1082" y="19"/>
              </a:cubicBezTo>
              <a:cubicBezTo>
                <a:pt x="1081" y="17"/>
                <a:pt x="1080" y="15"/>
                <a:pt x="1078" y="13"/>
              </a:cubicBezTo>
              <a:cubicBezTo>
                <a:pt x="1078" y="12"/>
                <a:pt x="1078" y="12"/>
                <a:pt x="1078" y="12"/>
              </a:cubicBezTo>
              <a:cubicBezTo>
                <a:pt x="1077" y="12"/>
                <a:pt x="1077" y="12"/>
                <a:pt x="1077" y="12"/>
              </a:cubicBezTo>
              <a:cubicBezTo>
                <a:pt x="1077" y="12"/>
                <a:pt x="1077" y="12"/>
                <a:pt x="1077" y="12"/>
              </a:cubicBezTo>
              <a:cubicBezTo>
                <a:pt x="1077" y="11"/>
                <a:pt x="1077" y="11"/>
                <a:pt x="1077" y="11"/>
              </a:cubicBezTo>
              <a:cubicBezTo>
                <a:pt x="1077" y="11"/>
                <a:pt x="1077" y="11"/>
                <a:pt x="1077" y="11"/>
              </a:cubicBezTo>
              <a:cubicBezTo>
                <a:pt x="1076" y="11"/>
                <a:pt x="1075" y="10"/>
                <a:pt x="1076" y="10"/>
              </a:cubicBezTo>
              <a:cubicBezTo>
                <a:pt x="1076" y="11"/>
                <a:pt x="1074" y="10"/>
                <a:pt x="1074" y="10"/>
              </a:cubicBezTo>
              <a:cubicBezTo>
                <a:pt x="1074" y="10"/>
                <a:pt x="1073" y="11"/>
                <a:pt x="1073" y="11"/>
              </a:cubicBezTo>
              <a:cubicBezTo>
                <a:pt x="1073" y="11"/>
                <a:pt x="1072" y="11"/>
                <a:pt x="1072" y="12"/>
              </a:cubicBezTo>
              <a:cubicBezTo>
                <a:pt x="1072" y="12"/>
                <a:pt x="1071" y="12"/>
                <a:pt x="1071" y="13"/>
              </a:cubicBezTo>
              <a:cubicBezTo>
                <a:pt x="1071" y="14"/>
                <a:pt x="1070" y="15"/>
                <a:pt x="1069" y="16"/>
              </a:cubicBezTo>
              <a:cubicBezTo>
                <a:pt x="1068" y="17"/>
                <a:pt x="1067" y="19"/>
                <a:pt x="1066" y="21"/>
              </a:cubicBezTo>
              <a:cubicBezTo>
                <a:pt x="1065" y="24"/>
                <a:pt x="1065" y="24"/>
                <a:pt x="1065" y="24"/>
              </a:cubicBezTo>
              <a:cubicBezTo>
                <a:pt x="1064" y="26"/>
                <a:pt x="1064" y="26"/>
                <a:pt x="1064" y="26"/>
              </a:cubicBezTo>
              <a:cubicBezTo>
                <a:pt x="1064" y="26"/>
                <a:pt x="1064" y="26"/>
                <a:pt x="1064" y="27"/>
              </a:cubicBezTo>
              <a:cubicBezTo>
                <a:pt x="1063" y="28"/>
                <a:pt x="1061" y="30"/>
                <a:pt x="1060" y="32"/>
              </a:cubicBezTo>
              <a:cubicBezTo>
                <a:pt x="1059" y="33"/>
                <a:pt x="1059" y="34"/>
                <a:pt x="1058" y="35"/>
              </a:cubicBezTo>
              <a:cubicBezTo>
                <a:pt x="1057" y="36"/>
                <a:pt x="1057" y="36"/>
                <a:pt x="1057" y="36"/>
              </a:cubicBezTo>
              <a:cubicBezTo>
                <a:pt x="1057" y="36"/>
                <a:pt x="1057" y="36"/>
                <a:pt x="1057" y="36"/>
              </a:cubicBezTo>
              <a:cubicBezTo>
                <a:pt x="1057" y="36"/>
                <a:pt x="1057" y="36"/>
                <a:pt x="1057" y="36"/>
              </a:cubicBezTo>
              <a:cubicBezTo>
                <a:pt x="1057" y="37"/>
                <a:pt x="1057" y="38"/>
                <a:pt x="1057" y="39"/>
              </a:cubicBezTo>
              <a:cubicBezTo>
                <a:pt x="1057" y="39"/>
                <a:pt x="1058" y="39"/>
                <a:pt x="1058" y="40"/>
              </a:cubicBezTo>
              <a:cubicBezTo>
                <a:pt x="1058" y="40"/>
                <a:pt x="1058" y="40"/>
                <a:pt x="1058" y="40"/>
              </a:cubicBezTo>
              <a:cubicBezTo>
                <a:pt x="1059" y="40"/>
                <a:pt x="1059" y="40"/>
                <a:pt x="1059" y="40"/>
              </a:cubicBezTo>
              <a:cubicBezTo>
                <a:pt x="1059" y="40"/>
                <a:pt x="1059" y="41"/>
                <a:pt x="1060" y="41"/>
              </a:cubicBezTo>
              <a:cubicBezTo>
                <a:pt x="1059" y="42"/>
                <a:pt x="1059" y="42"/>
                <a:pt x="1059" y="42"/>
              </a:cubicBezTo>
              <a:cubicBezTo>
                <a:pt x="1059" y="43"/>
                <a:pt x="1059" y="43"/>
                <a:pt x="1059" y="43"/>
              </a:cubicBezTo>
              <a:cubicBezTo>
                <a:pt x="1058" y="44"/>
                <a:pt x="1058" y="44"/>
                <a:pt x="1058" y="44"/>
              </a:cubicBezTo>
              <a:cubicBezTo>
                <a:pt x="1058" y="44"/>
                <a:pt x="1057" y="45"/>
                <a:pt x="1057" y="46"/>
              </a:cubicBezTo>
              <a:cubicBezTo>
                <a:pt x="1056" y="47"/>
                <a:pt x="1055" y="47"/>
                <a:pt x="1054" y="49"/>
              </a:cubicBezTo>
              <a:cubicBezTo>
                <a:pt x="1052" y="52"/>
                <a:pt x="1052" y="52"/>
                <a:pt x="1052" y="52"/>
              </a:cubicBezTo>
              <a:cubicBezTo>
                <a:pt x="1051" y="55"/>
                <a:pt x="1048" y="59"/>
                <a:pt x="1045" y="62"/>
              </a:cubicBezTo>
              <a:cubicBezTo>
                <a:pt x="1044" y="64"/>
                <a:pt x="1043" y="66"/>
                <a:pt x="1042" y="68"/>
              </a:cubicBezTo>
              <a:cubicBezTo>
                <a:pt x="1041" y="69"/>
                <a:pt x="1041" y="70"/>
                <a:pt x="1040" y="71"/>
              </a:cubicBezTo>
              <a:cubicBezTo>
                <a:pt x="1040" y="72"/>
                <a:pt x="1040" y="72"/>
                <a:pt x="1040" y="72"/>
              </a:cubicBezTo>
              <a:cubicBezTo>
                <a:pt x="1040" y="72"/>
                <a:pt x="1040" y="72"/>
                <a:pt x="1040" y="72"/>
              </a:cubicBezTo>
              <a:cubicBezTo>
                <a:pt x="1040" y="72"/>
                <a:pt x="1040" y="72"/>
                <a:pt x="1040" y="72"/>
              </a:cubicBezTo>
              <a:cubicBezTo>
                <a:pt x="1040" y="70"/>
                <a:pt x="1039" y="74"/>
                <a:pt x="1041" y="76"/>
              </a:cubicBezTo>
              <a:cubicBezTo>
                <a:pt x="1042" y="76"/>
                <a:pt x="1042" y="76"/>
                <a:pt x="1042" y="76"/>
              </a:cubicBezTo>
              <a:cubicBezTo>
                <a:pt x="1043" y="76"/>
                <a:pt x="1043" y="76"/>
                <a:pt x="1043" y="76"/>
              </a:cubicBezTo>
              <a:cubicBezTo>
                <a:pt x="1044" y="76"/>
                <a:pt x="1044" y="76"/>
                <a:pt x="1044" y="76"/>
              </a:cubicBezTo>
              <a:cubicBezTo>
                <a:pt x="1044" y="77"/>
                <a:pt x="1044" y="78"/>
                <a:pt x="1044" y="78"/>
              </a:cubicBezTo>
              <a:cubicBezTo>
                <a:pt x="1044" y="78"/>
                <a:pt x="1044" y="78"/>
                <a:pt x="1044" y="78"/>
              </a:cubicBezTo>
              <a:cubicBezTo>
                <a:pt x="1043" y="78"/>
                <a:pt x="1043" y="78"/>
                <a:pt x="1042" y="79"/>
              </a:cubicBezTo>
              <a:cubicBezTo>
                <a:pt x="1042" y="79"/>
                <a:pt x="1042" y="79"/>
                <a:pt x="1042" y="79"/>
              </a:cubicBezTo>
              <a:cubicBezTo>
                <a:pt x="1042" y="79"/>
                <a:pt x="1041" y="80"/>
                <a:pt x="1041" y="80"/>
              </a:cubicBezTo>
              <a:cubicBezTo>
                <a:pt x="1041" y="80"/>
                <a:pt x="1041" y="80"/>
                <a:pt x="1041" y="80"/>
              </a:cubicBezTo>
              <a:cubicBezTo>
                <a:pt x="1041" y="81"/>
                <a:pt x="1041" y="81"/>
                <a:pt x="1041" y="81"/>
              </a:cubicBezTo>
              <a:cubicBezTo>
                <a:pt x="1041" y="81"/>
                <a:pt x="1041" y="81"/>
                <a:pt x="1041" y="81"/>
              </a:cubicBezTo>
              <a:cubicBezTo>
                <a:pt x="1040" y="82"/>
                <a:pt x="1040" y="82"/>
                <a:pt x="1040" y="82"/>
              </a:cubicBezTo>
              <a:cubicBezTo>
                <a:pt x="1040" y="84"/>
                <a:pt x="1039" y="87"/>
                <a:pt x="1038" y="89"/>
              </a:cubicBezTo>
              <a:cubicBezTo>
                <a:pt x="1038" y="91"/>
                <a:pt x="1038" y="94"/>
                <a:pt x="1038" y="96"/>
              </a:cubicBezTo>
              <a:cubicBezTo>
                <a:pt x="1038" y="97"/>
                <a:pt x="1038" y="98"/>
                <a:pt x="1038" y="98"/>
              </a:cubicBezTo>
              <a:cubicBezTo>
                <a:pt x="1038" y="99"/>
                <a:pt x="1037" y="99"/>
                <a:pt x="1037" y="99"/>
              </a:cubicBezTo>
              <a:cubicBezTo>
                <a:pt x="1036" y="100"/>
                <a:pt x="1036" y="100"/>
                <a:pt x="1036" y="100"/>
              </a:cubicBezTo>
              <a:cubicBezTo>
                <a:pt x="1036" y="100"/>
                <a:pt x="1035" y="100"/>
                <a:pt x="1034" y="101"/>
              </a:cubicBezTo>
              <a:cubicBezTo>
                <a:pt x="1034" y="101"/>
                <a:pt x="1034" y="101"/>
                <a:pt x="1034" y="101"/>
              </a:cubicBezTo>
              <a:cubicBezTo>
                <a:pt x="1034" y="101"/>
                <a:pt x="1033" y="102"/>
                <a:pt x="1033" y="102"/>
              </a:cubicBezTo>
              <a:cubicBezTo>
                <a:pt x="1033" y="102"/>
                <a:pt x="1033" y="102"/>
                <a:pt x="1033" y="102"/>
              </a:cubicBezTo>
              <a:cubicBezTo>
                <a:pt x="1033" y="102"/>
                <a:pt x="1033" y="103"/>
                <a:pt x="1033" y="103"/>
              </a:cubicBezTo>
              <a:cubicBezTo>
                <a:pt x="1033" y="103"/>
                <a:pt x="1033" y="103"/>
                <a:pt x="1033" y="103"/>
              </a:cubicBezTo>
              <a:cubicBezTo>
                <a:pt x="1033" y="104"/>
                <a:pt x="1033" y="104"/>
                <a:pt x="1033" y="104"/>
              </a:cubicBezTo>
              <a:cubicBezTo>
                <a:pt x="1032" y="105"/>
                <a:pt x="1032" y="105"/>
                <a:pt x="1032" y="105"/>
              </a:cubicBezTo>
              <a:cubicBezTo>
                <a:pt x="1032" y="105"/>
                <a:pt x="1032" y="106"/>
                <a:pt x="1031" y="106"/>
              </a:cubicBezTo>
              <a:cubicBezTo>
                <a:pt x="1030" y="107"/>
                <a:pt x="1029" y="108"/>
                <a:pt x="1028" y="110"/>
              </a:cubicBezTo>
              <a:cubicBezTo>
                <a:pt x="1028" y="113"/>
                <a:pt x="1028" y="114"/>
                <a:pt x="1029" y="115"/>
              </a:cubicBezTo>
              <a:cubicBezTo>
                <a:pt x="1029" y="116"/>
                <a:pt x="1029" y="116"/>
                <a:pt x="1029" y="116"/>
              </a:cubicBezTo>
              <a:cubicBezTo>
                <a:pt x="1029" y="116"/>
                <a:pt x="1029" y="116"/>
                <a:pt x="1029" y="116"/>
              </a:cubicBezTo>
              <a:cubicBezTo>
                <a:pt x="1027" y="123"/>
                <a:pt x="1027" y="123"/>
                <a:pt x="1027" y="123"/>
              </a:cubicBezTo>
              <a:cubicBezTo>
                <a:pt x="1026" y="124"/>
                <a:pt x="1026" y="126"/>
                <a:pt x="1027" y="127"/>
              </a:cubicBezTo>
              <a:cubicBezTo>
                <a:pt x="1027" y="129"/>
                <a:pt x="1028" y="130"/>
                <a:pt x="1028" y="131"/>
              </a:cubicBezTo>
              <a:cubicBezTo>
                <a:pt x="1028" y="132"/>
                <a:pt x="1028" y="132"/>
                <a:pt x="1028" y="132"/>
              </a:cubicBezTo>
              <a:cubicBezTo>
                <a:pt x="1028" y="133"/>
                <a:pt x="1028" y="133"/>
                <a:pt x="1028" y="133"/>
              </a:cubicBezTo>
              <a:cubicBezTo>
                <a:pt x="1028" y="133"/>
                <a:pt x="1028" y="133"/>
                <a:pt x="1028" y="133"/>
              </a:cubicBezTo>
              <a:cubicBezTo>
                <a:pt x="1028" y="133"/>
                <a:pt x="1028" y="133"/>
                <a:pt x="1027" y="134"/>
              </a:cubicBezTo>
              <a:cubicBezTo>
                <a:pt x="1025" y="136"/>
                <a:pt x="1025" y="136"/>
                <a:pt x="1025" y="136"/>
              </a:cubicBezTo>
              <a:cubicBezTo>
                <a:pt x="1025" y="137"/>
                <a:pt x="1024" y="137"/>
                <a:pt x="1024" y="138"/>
              </a:cubicBezTo>
              <a:cubicBezTo>
                <a:pt x="1024" y="138"/>
                <a:pt x="1023" y="139"/>
                <a:pt x="1023" y="140"/>
              </a:cubicBezTo>
              <a:cubicBezTo>
                <a:pt x="1022" y="142"/>
                <a:pt x="1022" y="145"/>
                <a:pt x="1022" y="147"/>
              </a:cubicBezTo>
              <a:cubicBezTo>
                <a:pt x="1022" y="148"/>
                <a:pt x="1022" y="148"/>
                <a:pt x="1022" y="148"/>
              </a:cubicBezTo>
              <a:cubicBezTo>
                <a:pt x="1022" y="149"/>
                <a:pt x="1022" y="149"/>
                <a:pt x="1022" y="149"/>
              </a:cubicBezTo>
              <a:cubicBezTo>
                <a:pt x="1022" y="149"/>
                <a:pt x="1022" y="149"/>
                <a:pt x="1022" y="149"/>
              </a:cubicBezTo>
              <a:cubicBezTo>
                <a:pt x="1021" y="150"/>
                <a:pt x="1023" y="152"/>
                <a:pt x="1023" y="152"/>
              </a:cubicBezTo>
              <a:cubicBezTo>
                <a:pt x="1023" y="152"/>
                <a:pt x="1024" y="152"/>
                <a:pt x="1024" y="152"/>
              </a:cubicBezTo>
              <a:cubicBezTo>
                <a:pt x="1024" y="153"/>
                <a:pt x="1025" y="153"/>
                <a:pt x="1025" y="153"/>
              </a:cubicBezTo>
              <a:cubicBezTo>
                <a:pt x="1026" y="153"/>
                <a:pt x="1027" y="153"/>
                <a:pt x="1028" y="153"/>
              </a:cubicBezTo>
              <a:cubicBezTo>
                <a:pt x="1033" y="153"/>
                <a:pt x="1037" y="154"/>
                <a:pt x="1041" y="154"/>
              </a:cubicBezTo>
              <a:cubicBezTo>
                <a:pt x="1064" y="155"/>
                <a:pt x="1064" y="155"/>
                <a:pt x="1064" y="155"/>
              </a:cubicBezTo>
              <a:cubicBezTo>
                <a:pt x="1064" y="162"/>
                <a:pt x="1064" y="162"/>
                <a:pt x="1064" y="162"/>
              </a:cubicBezTo>
              <a:cubicBezTo>
                <a:pt x="800" y="150"/>
                <a:pt x="800" y="150"/>
                <a:pt x="800" y="150"/>
              </a:cubicBezTo>
              <a:cubicBezTo>
                <a:pt x="711" y="146"/>
                <a:pt x="623" y="131"/>
                <a:pt x="534" y="125"/>
              </a:cubicBezTo>
              <a:cubicBezTo>
                <a:pt x="511" y="123"/>
                <a:pt x="489" y="123"/>
                <a:pt x="467" y="122"/>
              </a:cubicBezTo>
              <a:cubicBezTo>
                <a:pt x="445" y="121"/>
                <a:pt x="422" y="121"/>
                <a:pt x="400" y="120"/>
              </a:cubicBezTo>
              <a:cubicBezTo>
                <a:pt x="355" y="119"/>
                <a:pt x="311" y="119"/>
                <a:pt x="266" y="119"/>
              </a:cubicBezTo>
              <a:cubicBezTo>
                <a:pt x="222" y="120"/>
                <a:pt x="177" y="121"/>
                <a:pt x="133" y="126"/>
              </a:cubicBezTo>
              <a:cubicBezTo>
                <a:pt x="88" y="130"/>
                <a:pt x="44" y="136"/>
                <a:pt x="0" y="142"/>
              </a:cubicBezTo>
              <a:cubicBezTo>
                <a:pt x="44" y="136"/>
                <a:pt x="88" y="131"/>
                <a:pt x="133" y="127"/>
              </a:cubicBezTo>
              <a:cubicBezTo>
                <a:pt x="177" y="124"/>
                <a:pt x="222" y="122"/>
                <a:pt x="266" y="123"/>
              </a:cubicBezTo>
              <a:cubicBezTo>
                <a:pt x="311" y="123"/>
                <a:pt x="355" y="124"/>
                <a:pt x="400" y="125"/>
              </a:cubicBezTo>
              <a:cubicBezTo>
                <a:pt x="467" y="128"/>
                <a:pt x="467" y="128"/>
                <a:pt x="467" y="128"/>
              </a:cubicBezTo>
              <a:cubicBezTo>
                <a:pt x="489" y="129"/>
                <a:pt x="511" y="129"/>
                <a:pt x="533" y="131"/>
              </a:cubicBezTo>
              <a:cubicBezTo>
                <a:pt x="622" y="137"/>
                <a:pt x="710" y="152"/>
                <a:pt x="799" y="156"/>
              </a:cubicBezTo>
              <a:cubicBezTo>
                <a:pt x="1067" y="168"/>
                <a:pt x="1067" y="168"/>
                <a:pt x="1067" y="168"/>
              </a:cubicBezTo>
              <a:cubicBezTo>
                <a:pt x="1070" y="168"/>
                <a:pt x="1070" y="168"/>
                <a:pt x="1070" y="168"/>
              </a:cubicBezTo>
              <a:cubicBezTo>
                <a:pt x="1070" y="165"/>
                <a:pt x="1070" y="165"/>
                <a:pt x="1070" y="165"/>
              </a:cubicBezTo>
              <a:cubicBezTo>
                <a:pt x="1070" y="153"/>
                <a:pt x="1070" y="153"/>
                <a:pt x="1070" y="153"/>
              </a:cubicBezTo>
              <a:cubicBezTo>
                <a:pt x="1070" y="150"/>
                <a:pt x="1070" y="150"/>
                <a:pt x="1070" y="150"/>
              </a:cubicBezTo>
              <a:cubicBezTo>
                <a:pt x="1067" y="150"/>
                <a:pt x="1067" y="150"/>
                <a:pt x="1067" y="150"/>
              </a:cubicBezTo>
              <a:cubicBezTo>
                <a:pt x="1042" y="148"/>
                <a:pt x="1042" y="148"/>
                <a:pt x="1042" y="148"/>
              </a:cubicBezTo>
              <a:cubicBezTo>
                <a:pt x="1038" y="148"/>
                <a:pt x="1033" y="148"/>
                <a:pt x="1029" y="147"/>
              </a:cubicBezTo>
              <a:cubicBezTo>
                <a:pt x="1029" y="147"/>
                <a:pt x="1028" y="147"/>
                <a:pt x="1028" y="147"/>
              </a:cubicBezTo>
              <a:cubicBezTo>
                <a:pt x="1028" y="145"/>
                <a:pt x="1028" y="143"/>
                <a:pt x="1029" y="141"/>
              </a:cubicBezTo>
              <a:cubicBezTo>
                <a:pt x="1029" y="141"/>
                <a:pt x="1029" y="141"/>
                <a:pt x="1029" y="141"/>
              </a:cubicBezTo>
              <a:cubicBezTo>
                <a:pt x="1029" y="141"/>
                <a:pt x="1029" y="140"/>
                <a:pt x="1030" y="140"/>
              </a:cubicBezTo>
              <a:cubicBezTo>
                <a:pt x="1032" y="138"/>
                <a:pt x="1032" y="138"/>
                <a:pt x="1032" y="138"/>
              </a:cubicBezTo>
              <a:cubicBezTo>
                <a:pt x="1032" y="137"/>
                <a:pt x="1033" y="137"/>
                <a:pt x="1033" y="136"/>
              </a:cubicBezTo>
              <a:cubicBezTo>
                <a:pt x="1033" y="136"/>
                <a:pt x="1033" y="135"/>
                <a:pt x="1034" y="135"/>
              </a:cubicBezTo>
              <a:cubicBezTo>
                <a:pt x="1034" y="134"/>
                <a:pt x="1034" y="134"/>
                <a:pt x="1034" y="134"/>
              </a:cubicBezTo>
              <a:cubicBezTo>
                <a:pt x="1034" y="133"/>
                <a:pt x="1034" y="133"/>
                <a:pt x="1034" y="133"/>
              </a:cubicBezTo>
              <a:cubicBezTo>
                <a:pt x="1034" y="132"/>
                <a:pt x="1034" y="130"/>
                <a:pt x="1033" y="129"/>
              </a:cubicBezTo>
              <a:cubicBezTo>
                <a:pt x="1033" y="126"/>
                <a:pt x="1032" y="126"/>
                <a:pt x="1033" y="124"/>
              </a:cubicBezTo>
              <a:cubicBezTo>
                <a:pt x="1034" y="118"/>
                <a:pt x="1034" y="118"/>
                <a:pt x="1034" y="118"/>
              </a:cubicBezTo>
              <a:cubicBezTo>
                <a:pt x="1034" y="118"/>
                <a:pt x="1035" y="117"/>
                <a:pt x="1035" y="116"/>
              </a:cubicBezTo>
              <a:cubicBezTo>
                <a:pt x="1035" y="115"/>
                <a:pt x="1034" y="114"/>
                <a:pt x="1034" y="113"/>
              </a:cubicBezTo>
              <a:cubicBezTo>
                <a:pt x="1034" y="113"/>
                <a:pt x="1034" y="112"/>
                <a:pt x="1034" y="112"/>
              </a:cubicBezTo>
              <a:cubicBezTo>
                <a:pt x="1034" y="112"/>
                <a:pt x="1034" y="111"/>
                <a:pt x="1035" y="111"/>
              </a:cubicBezTo>
              <a:cubicBezTo>
                <a:pt x="1036" y="110"/>
                <a:pt x="1037" y="109"/>
                <a:pt x="1038" y="107"/>
              </a:cubicBezTo>
              <a:cubicBezTo>
                <a:pt x="1038" y="107"/>
                <a:pt x="1038" y="107"/>
                <a:pt x="1038" y="106"/>
              </a:cubicBezTo>
              <a:cubicBezTo>
                <a:pt x="1038" y="106"/>
                <a:pt x="1038" y="106"/>
                <a:pt x="1038" y="106"/>
              </a:cubicBezTo>
              <a:cubicBezTo>
                <a:pt x="1038" y="105"/>
                <a:pt x="1038" y="105"/>
                <a:pt x="1038" y="105"/>
              </a:cubicBezTo>
              <a:cubicBezTo>
                <a:pt x="1039" y="105"/>
                <a:pt x="1039" y="105"/>
                <a:pt x="1039" y="105"/>
              </a:cubicBezTo>
              <a:cubicBezTo>
                <a:pt x="1039" y="105"/>
                <a:pt x="1040" y="105"/>
                <a:pt x="1041" y="104"/>
              </a:cubicBezTo>
              <a:cubicBezTo>
                <a:pt x="1041" y="104"/>
                <a:pt x="1041" y="104"/>
                <a:pt x="1042" y="104"/>
              </a:cubicBezTo>
              <a:cubicBezTo>
                <a:pt x="1042" y="103"/>
                <a:pt x="1042" y="103"/>
                <a:pt x="1042" y="103"/>
              </a:cubicBezTo>
              <a:cubicBezTo>
                <a:pt x="1042" y="103"/>
                <a:pt x="1043" y="102"/>
                <a:pt x="1043" y="102"/>
              </a:cubicBezTo>
              <a:cubicBezTo>
                <a:pt x="1043" y="102"/>
                <a:pt x="1043" y="102"/>
                <a:pt x="1043" y="102"/>
              </a:cubicBezTo>
              <a:cubicBezTo>
                <a:pt x="1043" y="101"/>
                <a:pt x="1043" y="100"/>
                <a:pt x="1043" y="100"/>
              </a:cubicBezTo>
              <a:cubicBezTo>
                <a:pt x="1044" y="98"/>
                <a:pt x="1044" y="97"/>
                <a:pt x="1044" y="96"/>
              </a:cubicBezTo>
              <a:cubicBezTo>
                <a:pt x="1044" y="94"/>
                <a:pt x="1044" y="92"/>
                <a:pt x="1044" y="90"/>
              </a:cubicBezTo>
              <a:cubicBezTo>
                <a:pt x="1045" y="88"/>
                <a:pt x="1045" y="87"/>
                <a:pt x="1046" y="84"/>
              </a:cubicBezTo>
              <a:cubicBezTo>
                <a:pt x="1046" y="83"/>
                <a:pt x="1046" y="83"/>
                <a:pt x="1046" y="83"/>
              </a:cubicBezTo>
              <a:cubicBezTo>
                <a:pt x="1047" y="83"/>
                <a:pt x="1047" y="83"/>
                <a:pt x="1048" y="83"/>
              </a:cubicBezTo>
              <a:cubicBezTo>
                <a:pt x="1048" y="82"/>
                <a:pt x="1049" y="82"/>
                <a:pt x="1049" y="82"/>
              </a:cubicBezTo>
              <a:cubicBezTo>
                <a:pt x="1049" y="81"/>
                <a:pt x="1049" y="81"/>
                <a:pt x="1050" y="81"/>
              </a:cubicBezTo>
              <a:cubicBezTo>
                <a:pt x="1050" y="80"/>
                <a:pt x="1050" y="80"/>
                <a:pt x="1050" y="80"/>
              </a:cubicBezTo>
              <a:cubicBezTo>
                <a:pt x="1050" y="80"/>
                <a:pt x="1050" y="80"/>
                <a:pt x="1050" y="80"/>
              </a:cubicBezTo>
              <a:cubicBezTo>
                <a:pt x="1050" y="79"/>
                <a:pt x="1050" y="79"/>
                <a:pt x="1050" y="79"/>
              </a:cubicBezTo>
              <a:cubicBezTo>
                <a:pt x="1050" y="77"/>
                <a:pt x="1049" y="76"/>
                <a:pt x="1049" y="75"/>
              </a:cubicBezTo>
              <a:cubicBezTo>
                <a:pt x="1049" y="75"/>
                <a:pt x="1049" y="75"/>
                <a:pt x="1049" y="75"/>
              </a:cubicBezTo>
              <a:cubicBezTo>
                <a:pt x="1049" y="75"/>
                <a:pt x="1049" y="75"/>
                <a:pt x="1049" y="75"/>
              </a:cubicBezTo>
              <a:cubicBezTo>
                <a:pt x="1049" y="75"/>
                <a:pt x="1049" y="75"/>
                <a:pt x="1049" y="75"/>
              </a:cubicBezTo>
              <a:cubicBezTo>
                <a:pt x="1049" y="75"/>
                <a:pt x="1049" y="75"/>
                <a:pt x="1049" y="75"/>
              </a:cubicBezTo>
              <a:cubicBezTo>
                <a:pt x="1050" y="71"/>
                <a:pt x="1050" y="74"/>
                <a:pt x="1049" y="72"/>
              </a:cubicBezTo>
              <a:cubicBezTo>
                <a:pt x="1049" y="72"/>
                <a:pt x="1048" y="71"/>
                <a:pt x="1048" y="71"/>
              </a:cubicBezTo>
              <a:cubicBezTo>
                <a:pt x="1047" y="71"/>
                <a:pt x="1047" y="71"/>
                <a:pt x="1047" y="71"/>
              </a:cubicBezTo>
              <a:cubicBezTo>
                <a:pt x="1047" y="71"/>
                <a:pt x="1047" y="71"/>
                <a:pt x="1047" y="71"/>
              </a:cubicBezTo>
              <a:cubicBezTo>
                <a:pt x="1048" y="69"/>
                <a:pt x="1049" y="68"/>
                <a:pt x="1050" y="66"/>
              </a:cubicBezTo>
              <a:cubicBezTo>
                <a:pt x="1053" y="62"/>
                <a:pt x="1056" y="59"/>
                <a:pt x="1058" y="55"/>
              </a:cubicBezTo>
              <a:cubicBezTo>
                <a:pt x="1059" y="52"/>
                <a:pt x="1059" y="52"/>
                <a:pt x="1059" y="52"/>
              </a:cubicBezTo>
              <a:cubicBezTo>
                <a:pt x="1059" y="52"/>
                <a:pt x="1060" y="51"/>
                <a:pt x="1060" y="50"/>
              </a:cubicBezTo>
              <a:cubicBezTo>
                <a:pt x="1061" y="50"/>
                <a:pt x="1062" y="49"/>
                <a:pt x="1063" y="47"/>
              </a:cubicBezTo>
              <a:cubicBezTo>
                <a:pt x="1064" y="46"/>
                <a:pt x="1064" y="46"/>
                <a:pt x="1064" y="46"/>
              </a:cubicBezTo>
              <a:cubicBezTo>
                <a:pt x="1065" y="44"/>
                <a:pt x="1065" y="44"/>
                <a:pt x="1065" y="44"/>
              </a:cubicBezTo>
              <a:cubicBezTo>
                <a:pt x="1066" y="41"/>
                <a:pt x="1066" y="41"/>
                <a:pt x="1066" y="41"/>
              </a:cubicBezTo>
              <a:cubicBezTo>
                <a:pt x="1066" y="40"/>
                <a:pt x="1066" y="40"/>
                <a:pt x="1066" y="40"/>
              </a:cubicBezTo>
              <a:cubicBezTo>
                <a:pt x="1066" y="40"/>
                <a:pt x="1066" y="40"/>
                <a:pt x="1066" y="40"/>
              </a:cubicBezTo>
              <a:cubicBezTo>
                <a:pt x="1067" y="40"/>
                <a:pt x="1066" y="41"/>
                <a:pt x="1067" y="39"/>
              </a:cubicBezTo>
              <a:cubicBezTo>
                <a:pt x="1067" y="39"/>
                <a:pt x="1067" y="39"/>
                <a:pt x="1067" y="39"/>
              </a:cubicBezTo>
              <a:cubicBezTo>
                <a:pt x="1067" y="39"/>
                <a:pt x="1067" y="38"/>
                <a:pt x="1066" y="37"/>
              </a:cubicBezTo>
              <a:cubicBezTo>
                <a:pt x="1066" y="37"/>
                <a:pt x="1065" y="36"/>
                <a:pt x="1065" y="36"/>
              </a:cubicBezTo>
              <a:cubicBezTo>
                <a:pt x="1065" y="36"/>
                <a:pt x="1065" y="36"/>
                <a:pt x="1065" y="36"/>
              </a:cubicBezTo>
              <a:cubicBezTo>
                <a:pt x="1065" y="36"/>
                <a:pt x="1065" y="36"/>
                <a:pt x="1065" y="36"/>
              </a:cubicBezTo>
              <a:cubicBezTo>
                <a:pt x="1064" y="36"/>
                <a:pt x="1064" y="36"/>
                <a:pt x="1064" y="36"/>
              </a:cubicBezTo>
              <a:cubicBezTo>
                <a:pt x="1065" y="36"/>
                <a:pt x="1065" y="36"/>
                <a:pt x="1065" y="35"/>
              </a:cubicBezTo>
              <a:cubicBezTo>
                <a:pt x="1066" y="34"/>
                <a:pt x="1067" y="32"/>
                <a:pt x="1069" y="30"/>
              </a:cubicBezTo>
              <a:cubicBezTo>
                <a:pt x="1069" y="30"/>
                <a:pt x="1069" y="29"/>
                <a:pt x="1070" y="28"/>
              </a:cubicBezTo>
              <a:cubicBezTo>
                <a:pt x="1070" y="27"/>
                <a:pt x="1070" y="27"/>
                <a:pt x="1070" y="27"/>
              </a:cubicBezTo>
              <a:cubicBezTo>
                <a:pt x="1072" y="24"/>
                <a:pt x="1072" y="24"/>
                <a:pt x="1072" y="24"/>
              </a:cubicBezTo>
              <a:cubicBezTo>
                <a:pt x="1073" y="22"/>
                <a:pt x="1074" y="20"/>
                <a:pt x="1075" y="19"/>
              </a:cubicBezTo>
              <a:cubicBezTo>
                <a:pt x="1075" y="20"/>
                <a:pt x="1076" y="21"/>
                <a:pt x="1076" y="22"/>
              </a:cubicBezTo>
              <a:cubicBezTo>
                <a:pt x="1077" y="23"/>
                <a:pt x="1077" y="23"/>
                <a:pt x="1078" y="25"/>
              </a:cubicBezTo>
              <a:cubicBezTo>
                <a:pt x="1079" y="26"/>
                <a:pt x="1079" y="26"/>
                <a:pt x="1080" y="26"/>
              </a:cubicBezTo>
              <a:cubicBezTo>
                <a:pt x="1079" y="27"/>
                <a:pt x="1079" y="27"/>
                <a:pt x="1079" y="27"/>
              </a:cubicBezTo>
              <a:cubicBezTo>
                <a:pt x="1079" y="29"/>
                <a:pt x="1079" y="31"/>
                <a:pt x="1079" y="32"/>
              </a:cubicBezTo>
              <a:cubicBezTo>
                <a:pt x="1079" y="33"/>
                <a:pt x="1080" y="33"/>
                <a:pt x="1080" y="34"/>
              </a:cubicBezTo>
              <a:cubicBezTo>
                <a:pt x="1080" y="34"/>
                <a:pt x="1080" y="34"/>
                <a:pt x="1080" y="34"/>
              </a:cubicBezTo>
              <a:cubicBezTo>
                <a:pt x="1080" y="35"/>
                <a:pt x="1080" y="35"/>
                <a:pt x="1080" y="35"/>
              </a:cubicBezTo>
              <a:cubicBezTo>
                <a:pt x="1080" y="35"/>
                <a:pt x="1081" y="35"/>
                <a:pt x="1081" y="35"/>
              </a:cubicBezTo>
              <a:cubicBezTo>
                <a:pt x="1081" y="36"/>
                <a:pt x="1081" y="36"/>
                <a:pt x="1081" y="36"/>
              </a:cubicBezTo>
              <a:cubicBezTo>
                <a:pt x="1082" y="37"/>
                <a:pt x="1083" y="38"/>
                <a:pt x="1084" y="38"/>
              </a:cubicBezTo>
              <a:cubicBezTo>
                <a:pt x="1084" y="39"/>
                <a:pt x="1084" y="40"/>
                <a:pt x="1083" y="40"/>
              </a:cubicBezTo>
              <a:cubicBezTo>
                <a:pt x="1083" y="41"/>
                <a:pt x="1083" y="42"/>
                <a:pt x="1083" y="42"/>
              </a:cubicBezTo>
              <a:cubicBezTo>
                <a:pt x="1084" y="44"/>
                <a:pt x="1084" y="45"/>
                <a:pt x="1084" y="46"/>
              </a:cubicBezTo>
              <a:cubicBezTo>
                <a:pt x="1085" y="48"/>
                <a:pt x="1085" y="50"/>
                <a:pt x="1087" y="53"/>
              </a:cubicBezTo>
              <a:cubicBezTo>
                <a:pt x="1088" y="55"/>
                <a:pt x="1090" y="57"/>
                <a:pt x="1092" y="58"/>
              </a:cubicBezTo>
              <a:cubicBezTo>
                <a:pt x="1093" y="59"/>
                <a:pt x="1095" y="60"/>
                <a:pt x="1095" y="62"/>
              </a:cubicBezTo>
              <a:cubicBezTo>
                <a:pt x="1096" y="64"/>
                <a:pt x="1098" y="66"/>
                <a:pt x="1099" y="68"/>
              </a:cubicBezTo>
              <a:cubicBezTo>
                <a:pt x="1100" y="69"/>
                <a:pt x="1102" y="71"/>
                <a:pt x="1103" y="73"/>
              </a:cubicBezTo>
              <a:cubicBezTo>
                <a:pt x="1103" y="73"/>
                <a:pt x="1104" y="74"/>
                <a:pt x="1104" y="75"/>
              </a:cubicBezTo>
              <a:cubicBezTo>
                <a:pt x="1104" y="76"/>
                <a:pt x="1104" y="76"/>
                <a:pt x="1104" y="76"/>
              </a:cubicBezTo>
              <a:cubicBezTo>
                <a:pt x="1105" y="76"/>
                <a:pt x="1105" y="76"/>
                <a:pt x="1105" y="76"/>
              </a:cubicBezTo>
              <a:cubicBezTo>
                <a:pt x="1105" y="76"/>
                <a:pt x="1105" y="76"/>
                <a:pt x="1105" y="76"/>
              </a:cubicBezTo>
              <a:cubicBezTo>
                <a:pt x="1105" y="76"/>
                <a:pt x="1105" y="76"/>
                <a:pt x="1105" y="76"/>
              </a:cubicBezTo>
              <a:cubicBezTo>
                <a:pt x="1105" y="76"/>
                <a:pt x="1105" y="76"/>
                <a:pt x="1105" y="76"/>
              </a:cubicBezTo>
              <a:cubicBezTo>
                <a:pt x="1105" y="76"/>
                <a:pt x="1105" y="76"/>
                <a:pt x="1105" y="76"/>
              </a:cubicBezTo>
              <a:cubicBezTo>
                <a:pt x="1104" y="77"/>
                <a:pt x="1103" y="79"/>
                <a:pt x="1102" y="82"/>
              </a:cubicBezTo>
              <a:cubicBezTo>
                <a:pt x="1102" y="83"/>
                <a:pt x="1102" y="84"/>
                <a:pt x="1102" y="85"/>
              </a:cubicBezTo>
              <a:cubicBezTo>
                <a:pt x="1102" y="86"/>
                <a:pt x="1103" y="87"/>
                <a:pt x="1103" y="87"/>
              </a:cubicBezTo>
              <a:cubicBezTo>
                <a:pt x="1103" y="88"/>
                <a:pt x="1104" y="89"/>
                <a:pt x="1104" y="90"/>
              </a:cubicBezTo>
              <a:cubicBezTo>
                <a:pt x="1107" y="94"/>
                <a:pt x="1109" y="98"/>
                <a:pt x="1112" y="101"/>
              </a:cubicBezTo>
              <a:cubicBezTo>
                <a:pt x="1113" y="103"/>
                <a:pt x="1114" y="105"/>
                <a:pt x="1115" y="106"/>
              </a:cubicBezTo>
              <a:cubicBezTo>
                <a:pt x="1115" y="107"/>
                <a:pt x="1116" y="108"/>
                <a:pt x="1116" y="109"/>
              </a:cubicBezTo>
              <a:cubicBezTo>
                <a:pt x="1117" y="109"/>
                <a:pt x="1117" y="110"/>
                <a:pt x="1117" y="110"/>
              </a:cubicBezTo>
              <a:cubicBezTo>
                <a:pt x="1117" y="110"/>
                <a:pt x="1117" y="110"/>
                <a:pt x="1117" y="110"/>
              </a:cubicBezTo>
              <a:cubicBezTo>
                <a:pt x="1117" y="111"/>
                <a:pt x="1116" y="111"/>
                <a:pt x="1116" y="112"/>
              </a:cubicBezTo>
              <a:cubicBezTo>
                <a:pt x="1116" y="112"/>
                <a:pt x="1115" y="113"/>
                <a:pt x="1115" y="114"/>
              </a:cubicBezTo>
              <a:cubicBezTo>
                <a:pt x="1115" y="114"/>
                <a:pt x="1114" y="115"/>
                <a:pt x="1114" y="117"/>
              </a:cubicBezTo>
              <a:cubicBezTo>
                <a:pt x="1114" y="117"/>
                <a:pt x="1114" y="117"/>
                <a:pt x="1115" y="118"/>
              </a:cubicBezTo>
              <a:cubicBezTo>
                <a:pt x="1115" y="118"/>
                <a:pt x="1115" y="118"/>
                <a:pt x="1115" y="118"/>
              </a:cubicBezTo>
              <a:cubicBezTo>
                <a:pt x="1115" y="118"/>
                <a:pt x="1115" y="118"/>
                <a:pt x="1115" y="119"/>
              </a:cubicBezTo>
              <a:cubicBezTo>
                <a:pt x="1115" y="119"/>
                <a:pt x="1115" y="119"/>
                <a:pt x="1116" y="120"/>
              </a:cubicBezTo>
              <a:cubicBezTo>
                <a:pt x="1116" y="120"/>
                <a:pt x="1117" y="121"/>
                <a:pt x="1117" y="121"/>
              </a:cubicBezTo>
              <a:cubicBezTo>
                <a:pt x="1118" y="122"/>
                <a:pt x="1119" y="123"/>
                <a:pt x="1119" y="123"/>
              </a:cubicBezTo>
              <a:cubicBezTo>
                <a:pt x="1119" y="122"/>
                <a:pt x="1119" y="124"/>
                <a:pt x="1119" y="124"/>
              </a:cubicBezTo>
              <a:cubicBezTo>
                <a:pt x="1120" y="125"/>
                <a:pt x="1120" y="125"/>
                <a:pt x="1120" y="126"/>
              </a:cubicBezTo>
              <a:cubicBezTo>
                <a:pt x="1122" y="128"/>
                <a:pt x="1122" y="128"/>
                <a:pt x="1122" y="128"/>
              </a:cubicBezTo>
              <a:cubicBezTo>
                <a:pt x="1122" y="129"/>
                <a:pt x="1123" y="129"/>
                <a:pt x="1123" y="130"/>
              </a:cubicBezTo>
              <a:cubicBezTo>
                <a:pt x="1123" y="130"/>
                <a:pt x="1123" y="130"/>
                <a:pt x="1123" y="130"/>
              </a:cubicBezTo>
              <a:cubicBezTo>
                <a:pt x="1123" y="130"/>
                <a:pt x="1122" y="131"/>
                <a:pt x="1122" y="131"/>
              </a:cubicBezTo>
              <a:cubicBezTo>
                <a:pt x="1121" y="132"/>
                <a:pt x="1121" y="133"/>
                <a:pt x="1120" y="135"/>
              </a:cubicBezTo>
              <a:cubicBezTo>
                <a:pt x="1120" y="136"/>
                <a:pt x="1120" y="136"/>
                <a:pt x="1120" y="137"/>
              </a:cubicBezTo>
              <a:cubicBezTo>
                <a:pt x="1120" y="138"/>
                <a:pt x="1120" y="138"/>
                <a:pt x="1120" y="138"/>
              </a:cubicBezTo>
              <a:cubicBezTo>
                <a:pt x="1120" y="138"/>
                <a:pt x="1121" y="139"/>
                <a:pt x="1121" y="140"/>
              </a:cubicBezTo>
              <a:cubicBezTo>
                <a:pt x="1122" y="142"/>
                <a:pt x="1123" y="144"/>
                <a:pt x="1123" y="146"/>
              </a:cubicBezTo>
              <a:cubicBezTo>
                <a:pt x="1124" y="146"/>
                <a:pt x="1124" y="147"/>
                <a:pt x="1124" y="147"/>
              </a:cubicBezTo>
              <a:cubicBezTo>
                <a:pt x="1123" y="148"/>
                <a:pt x="1122" y="148"/>
                <a:pt x="1120" y="148"/>
              </a:cubicBezTo>
              <a:cubicBezTo>
                <a:pt x="1108" y="148"/>
                <a:pt x="1108" y="148"/>
                <a:pt x="1108" y="148"/>
              </a:cubicBezTo>
              <a:cubicBezTo>
                <a:pt x="1082" y="149"/>
                <a:pt x="1082" y="149"/>
                <a:pt x="1082" y="149"/>
              </a:cubicBezTo>
              <a:cubicBezTo>
                <a:pt x="1079" y="149"/>
                <a:pt x="1079" y="149"/>
                <a:pt x="1079" y="149"/>
              </a:cubicBezTo>
              <a:cubicBezTo>
                <a:pt x="1079" y="152"/>
                <a:pt x="1079" y="152"/>
                <a:pt x="1079" y="152"/>
              </a:cubicBezTo>
              <a:cubicBezTo>
                <a:pt x="1080" y="165"/>
                <a:pt x="1080" y="165"/>
                <a:pt x="1080" y="165"/>
              </a:cubicBezTo>
              <a:cubicBezTo>
                <a:pt x="1080" y="168"/>
                <a:pt x="1080" y="168"/>
                <a:pt x="1080" y="168"/>
              </a:cubicBezTo>
              <a:cubicBezTo>
                <a:pt x="1083" y="168"/>
                <a:pt x="1083" y="168"/>
                <a:pt x="1083" y="168"/>
              </a:cubicBezTo>
              <a:cubicBezTo>
                <a:pt x="1129" y="169"/>
                <a:pt x="1129" y="169"/>
                <a:pt x="1129" y="169"/>
              </a:cubicBezTo>
              <a:cubicBezTo>
                <a:pt x="1153" y="170"/>
                <a:pt x="1153" y="170"/>
                <a:pt x="1153" y="170"/>
              </a:cubicBezTo>
              <a:cubicBezTo>
                <a:pt x="1165" y="170"/>
                <a:pt x="1165" y="170"/>
                <a:pt x="1165" y="170"/>
              </a:cubicBezTo>
              <a:cubicBezTo>
                <a:pt x="1168" y="170"/>
                <a:pt x="1172" y="170"/>
                <a:pt x="1176" y="170"/>
              </a:cubicBezTo>
              <a:cubicBezTo>
                <a:pt x="1180" y="170"/>
                <a:pt x="1184" y="171"/>
                <a:pt x="1188" y="171"/>
              </a:cubicBezTo>
              <a:cubicBezTo>
                <a:pt x="1190" y="171"/>
                <a:pt x="1192" y="171"/>
                <a:pt x="1194" y="170"/>
              </a:cubicBezTo>
              <a:cubicBezTo>
                <a:pt x="1195" y="170"/>
                <a:pt x="1195" y="170"/>
                <a:pt x="1195" y="170"/>
              </a:cubicBezTo>
              <a:cubicBezTo>
                <a:pt x="1195" y="170"/>
                <a:pt x="1196" y="170"/>
                <a:pt x="1196" y="170"/>
              </a:cubicBezTo>
              <a:cubicBezTo>
                <a:pt x="1196" y="170"/>
                <a:pt x="1196" y="170"/>
                <a:pt x="1197" y="169"/>
              </a:cubicBezTo>
              <a:cubicBezTo>
                <a:pt x="1197" y="169"/>
                <a:pt x="1197" y="169"/>
                <a:pt x="1197" y="169"/>
              </a:cubicBezTo>
              <a:cubicBezTo>
                <a:pt x="1197" y="169"/>
                <a:pt x="1198" y="168"/>
                <a:pt x="1198" y="168"/>
              </a:cubicBezTo>
              <a:cubicBezTo>
                <a:pt x="1198" y="167"/>
                <a:pt x="1198" y="167"/>
                <a:pt x="1198" y="166"/>
              </a:cubicBezTo>
              <a:cubicBezTo>
                <a:pt x="1199" y="165"/>
                <a:pt x="1199" y="164"/>
                <a:pt x="1199" y="163"/>
              </a:cubicBezTo>
              <a:cubicBezTo>
                <a:pt x="1200" y="155"/>
                <a:pt x="1200" y="147"/>
                <a:pt x="1200" y="139"/>
              </a:cubicBezTo>
              <a:cubicBezTo>
                <a:pt x="1200" y="131"/>
                <a:pt x="1200" y="123"/>
                <a:pt x="1198" y="115"/>
              </a:cubicBezTo>
              <a:cubicBezTo>
                <a:pt x="1198" y="114"/>
                <a:pt x="1198" y="113"/>
                <a:pt x="1197" y="112"/>
              </a:cubicBezTo>
              <a:cubicBezTo>
                <a:pt x="1197" y="111"/>
                <a:pt x="1196" y="110"/>
                <a:pt x="1195" y="109"/>
              </a:cubicBezTo>
              <a:cubicBezTo>
                <a:pt x="1195" y="109"/>
                <a:pt x="1193" y="109"/>
                <a:pt x="1193" y="109"/>
              </a:cubicBezTo>
              <a:cubicBezTo>
                <a:pt x="1190" y="108"/>
                <a:pt x="1188" y="108"/>
                <a:pt x="1186" y="108"/>
              </a:cubicBezTo>
              <a:cubicBezTo>
                <a:pt x="1182" y="109"/>
                <a:pt x="1178" y="110"/>
                <a:pt x="1176" y="110"/>
              </a:cubicBezTo>
              <a:cubicBezTo>
                <a:pt x="1176" y="109"/>
                <a:pt x="1177" y="108"/>
                <a:pt x="1178" y="107"/>
              </a:cubicBezTo>
              <a:cubicBezTo>
                <a:pt x="1180" y="105"/>
                <a:pt x="1183" y="102"/>
                <a:pt x="1186" y="99"/>
              </a:cubicBezTo>
              <a:cubicBezTo>
                <a:pt x="1192" y="94"/>
                <a:pt x="1198" y="89"/>
                <a:pt x="1204" y="84"/>
              </a:cubicBezTo>
              <a:cubicBezTo>
                <a:pt x="1210" y="79"/>
                <a:pt x="1216" y="74"/>
                <a:pt x="1222" y="69"/>
              </a:cubicBezTo>
              <a:cubicBezTo>
                <a:pt x="1239" y="53"/>
                <a:pt x="1239" y="53"/>
                <a:pt x="1239" y="53"/>
              </a:cubicBezTo>
              <a:cubicBezTo>
                <a:pt x="1257" y="38"/>
                <a:pt x="1257" y="38"/>
                <a:pt x="1257" y="38"/>
              </a:cubicBezTo>
              <a:cubicBezTo>
                <a:pt x="1265" y="30"/>
                <a:pt x="1265" y="30"/>
                <a:pt x="1265" y="30"/>
              </a:cubicBezTo>
              <a:cubicBezTo>
                <a:pt x="1268" y="27"/>
                <a:pt x="1271" y="24"/>
                <a:pt x="1274" y="21"/>
              </a:cubicBezTo>
              <a:cubicBezTo>
                <a:pt x="1279" y="16"/>
                <a:pt x="1285" y="11"/>
                <a:pt x="1291" y="8"/>
              </a:cubicBezTo>
              <a:cubicBezTo>
                <a:pt x="1294" y="7"/>
                <a:pt x="1297" y="6"/>
                <a:pt x="1300" y="8"/>
              </a:cubicBezTo>
              <a:cubicBezTo>
                <a:pt x="1303" y="9"/>
                <a:pt x="1307" y="11"/>
                <a:pt x="1310" y="13"/>
              </a:cubicBezTo>
              <a:cubicBezTo>
                <a:pt x="1321" y="22"/>
                <a:pt x="1332" y="35"/>
                <a:pt x="1345" y="44"/>
              </a:cubicBezTo>
              <a:cubicBezTo>
                <a:pt x="1357" y="53"/>
                <a:pt x="1370" y="62"/>
                <a:pt x="1382" y="72"/>
              </a:cubicBezTo>
              <a:cubicBezTo>
                <a:pt x="1388" y="77"/>
                <a:pt x="1395" y="81"/>
                <a:pt x="1401" y="86"/>
              </a:cubicBezTo>
              <a:cubicBezTo>
                <a:pt x="1407" y="90"/>
                <a:pt x="1414" y="95"/>
                <a:pt x="1419" y="99"/>
              </a:cubicBezTo>
              <a:cubicBezTo>
                <a:pt x="1417" y="100"/>
                <a:pt x="1416" y="100"/>
                <a:pt x="1415" y="100"/>
              </a:cubicBezTo>
              <a:cubicBezTo>
                <a:pt x="1411" y="101"/>
                <a:pt x="1407" y="102"/>
                <a:pt x="1403" y="102"/>
              </a:cubicBezTo>
              <a:cubicBezTo>
                <a:pt x="1399" y="103"/>
                <a:pt x="1396" y="103"/>
                <a:pt x="1391" y="104"/>
              </a:cubicBezTo>
              <a:cubicBezTo>
                <a:pt x="1391" y="104"/>
                <a:pt x="1391" y="105"/>
                <a:pt x="1390" y="105"/>
              </a:cubicBezTo>
              <a:cubicBezTo>
                <a:pt x="1390" y="105"/>
                <a:pt x="1390" y="105"/>
                <a:pt x="1390" y="105"/>
              </a:cubicBezTo>
              <a:cubicBezTo>
                <a:pt x="1389" y="105"/>
                <a:pt x="1389" y="105"/>
                <a:pt x="1388" y="106"/>
              </a:cubicBezTo>
              <a:cubicBezTo>
                <a:pt x="1388" y="106"/>
                <a:pt x="1388" y="107"/>
                <a:pt x="1388" y="107"/>
              </a:cubicBezTo>
              <a:cubicBezTo>
                <a:pt x="1388" y="108"/>
                <a:pt x="1388" y="108"/>
                <a:pt x="1388" y="109"/>
              </a:cubicBezTo>
              <a:cubicBezTo>
                <a:pt x="1388" y="109"/>
                <a:pt x="1388" y="109"/>
                <a:pt x="1388" y="109"/>
              </a:cubicBezTo>
              <a:cubicBezTo>
                <a:pt x="1388" y="112"/>
                <a:pt x="1388" y="112"/>
                <a:pt x="1388" y="112"/>
              </a:cubicBezTo>
              <a:cubicBezTo>
                <a:pt x="1388" y="118"/>
                <a:pt x="1388" y="118"/>
                <a:pt x="1388" y="118"/>
              </a:cubicBezTo>
              <a:cubicBezTo>
                <a:pt x="1389" y="134"/>
                <a:pt x="1390" y="149"/>
                <a:pt x="1392" y="164"/>
              </a:cubicBezTo>
              <a:cubicBezTo>
                <a:pt x="1382" y="164"/>
                <a:pt x="1382" y="164"/>
                <a:pt x="1382" y="164"/>
              </a:cubicBezTo>
              <a:cubicBezTo>
                <a:pt x="1372" y="165"/>
                <a:pt x="1363" y="165"/>
                <a:pt x="1353" y="165"/>
              </a:cubicBezTo>
              <a:cubicBezTo>
                <a:pt x="1353" y="165"/>
                <a:pt x="1352" y="165"/>
                <a:pt x="1352" y="165"/>
              </a:cubicBezTo>
              <a:cubicBezTo>
                <a:pt x="1344" y="165"/>
                <a:pt x="1337" y="164"/>
                <a:pt x="1329" y="164"/>
              </a:cubicBezTo>
              <a:cubicBezTo>
                <a:pt x="1323" y="163"/>
                <a:pt x="1323" y="163"/>
                <a:pt x="1323" y="163"/>
              </a:cubicBezTo>
              <a:cubicBezTo>
                <a:pt x="1320" y="163"/>
                <a:pt x="1320" y="163"/>
                <a:pt x="1320" y="163"/>
              </a:cubicBezTo>
              <a:cubicBezTo>
                <a:pt x="1319" y="163"/>
                <a:pt x="1319" y="163"/>
                <a:pt x="1319" y="163"/>
              </a:cubicBezTo>
              <a:cubicBezTo>
                <a:pt x="1319" y="163"/>
                <a:pt x="1319" y="162"/>
                <a:pt x="1319" y="162"/>
              </a:cubicBezTo>
              <a:cubicBezTo>
                <a:pt x="1319" y="161"/>
                <a:pt x="1319" y="160"/>
                <a:pt x="1319" y="159"/>
              </a:cubicBezTo>
              <a:cubicBezTo>
                <a:pt x="1319" y="157"/>
                <a:pt x="1319" y="156"/>
                <a:pt x="1318" y="154"/>
              </a:cubicBezTo>
              <a:cubicBezTo>
                <a:pt x="1318" y="138"/>
                <a:pt x="1318" y="123"/>
                <a:pt x="1318" y="107"/>
              </a:cubicBezTo>
              <a:cubicBezTo>
                <a:pt x="1318" y="104"/>
                <a:pt x="1318" y="104"/>
                <a:pt x="1318" y="104"/>
              </a:cubicBezTo>
              <a:cubicBezTo>
                <a:pt x="1315" y="104"/>
                <a:pt x="1315" y="104"/>
                <a:pt x="1315" y="104"/>
              </a:cubicBezTo>
              <a:cubicBezTo>
                <a:pt x="1267" y="104"/>
                <a:pt x="1267" y="104"/>
                <a:pt x="1267" y="104"/>
              </a:cubicBezTo>
              <a:cubicBezTo>
                <a:pt x="1264" y="104"/>
                <a:pt x="1264" y="104"/>
                <a:pt x="1264" y="104"/>
              </a:cubicBezTo>
              <a:cubicBezTo>
                <a:pt x="1264" y="107"/>
                <a:pt x="1264" y="107"/>
                <a:pt x="1264" y="107"/>
              </a:cubicBezTo>
              <a:cubicBezTo>
                <a:pt x="1264" y="170"/>
                <a:pt x="1264" y="170"/>
                <a:pt x="1264" y="170"/>
              </a:cubicBezTo>
              <a:cubicBezTo>
                <a:pt x="1264" y="173"/>
                <a:pt x="1264" y="173"/>
                <a:pt x="1264" y="173"/>
              </a:cubicBezTo>
              <a:cubicBezTo>
                <a:pt x="1267" y="173"/>
                <a:pt x="1267" y="173"/>
                <a:pt x="1267" y="173"/>
              </a:cubicBezTo>
              <a:cubicBezTo>
                <a:pt x="1296" y="172"/>
                <a:pt x="1325" y="172"/>
                <a:pt x="1354" y="171"/>
              </a:cubicBezTo>
              <a:cubicBezTo>
                <a:pt x="1361" y="171"/>
                <a:pt x="1368" y="172"/>
                <a:pt x="1375" y="172"/>
              </a:cubicBezTo>
              <a:cubicBezTo>
                <a:pt x="1379" y="172"/>
                <a:pt x="1383" y="172"/>
                <a:pt x="1387" y="172"/>
              </a:cubicBezTo>
              <a:cubicBezTo>
                <a:pt x="1389" y="171"/>
                <a:pt x="1391" y="171"/>
                <a:pt x="1393" y="171"/>
              </a:cubicBezTo>
              <a:cubicBezTo>
                <a:pt x="1394" y="171"/>
                <a:pt x="1394" y="171"/>
                <a:pt x="1395" y="171"/>
              </a:cubicBezTo>
              <a:cubicBezTo>
                <a:pt x="1395" y="171"/>
                <a:pt x="1395" y="171"/>
                <a:pt x="1396" y="171"/>
              </a:cubicBezTo>
              <a:cubicBezTo>
                <a:pt x="1396" y="171"/>
                <a:pt x="1397" y="171"/>
                <a:pt x="1398" y="170"/>
              </a:cubicBezTo>
              <a:cubicBezTo>
                <a:pt x="1398" y="170"/>
                <a:pt x="1398" y="170"/>
                <a:pt x="1398" y="170"/>
              </a:cubicBezTo>
              <a:cubicBezTo>
                <a:pt x="1411" y="169"/>
                <a:pt x="1411" y="169"/>
                <a:pt x="1411" y="169"/>
              </a:cubicBezTo>
              <a:cubicBezTo>
                <a:pt x="1418" y="169"/>
                <a:pt x="1418" y="169"/>
                <a:pt x="1418" y="169"/>
              </a:cubicBezTo>
              <a:cubicBezTo>
                <a:pt x="1420" y="169"/>
                <a:pt x="1423" y="170"/>
                <a:pt x="1426" y="169"/>
              </a:cubicBezTo>
              <a:cubicBezTo>
                <a:pt x="1426" y="169"/>
                <a:pt x="1427" y="168"/>
                <a:pt x="1427" y="168"/>
              </a:cubicBezTo>
              <a:cubicBezTo>
                <a:pt x="1427" y="168"/>
                <a:pt x="1428" y="167"/>
                <a:pt x="1428" y="167"/>
              </a:cubicBezTo>
              <a:cubicBezTo>
                <a:pt x="1429" y="165"/>
                <a:pt x="1429" y="165"/>
                <a:pt x="1429" y="165"/>
              </a:cubicBezTo>
              <a:cubicBezTo>
                <a:pt x="1432" y="163"/>
                <a:pt x="1432" y="163"/>
                <a:pt x="1432" y="163"/>
              </a:cubicBezTo>
              <a:cubicBezTo>
                <a:pt x="1433" y="161"/>
                <a:pt x="1435" y="159"/>
                <a:pt x="1436" y="157"/>
              </a:cubicBezTo>
              <a:cubicBezTo>
                <a:pt x="1439" y="154"/>
                <a:pt x="1443" y="150"/>
                <a:pt x="1446" y="148"/>
              </a:cubicBezTo>
              <a:cubicBezTo>
                <a:pt x="1448" y="146"/>
                <a:pt x="1450" y="145"/>
                <a:pt x="1452" y="144"/>
              </a:cubicBezTo>
              <a:cubicBezTo>
                <a:pt x="1452" y="144"/>
                <a:pt x="1452" y="144"/>
                <a:pt x="1452" y="144"/>
              </a:cubicBezTo>
              <a:cubicBezTo>
                <a:pt x="1450" y="147"/>
                <a:pt x="1447" y="150"/>
                <a:pt x="1445" y="154"/>
              </a:cubicBezTo>
              <a:cubicBezTo>
                <a:pt x="1444" y="155"/>
                <a:pt x="1444" y="156"/>
                <a:pt x="1443" y="157"/>
              </a:cubicBezTo>
              <a:cubicBezTo>
                <a:pt x="1443" y="158"/>
                <a:pt x="1442" y="158"/>
                <a:pt x="1442" y="159"/>
              </a:cubicBezTo>
              <a:cubicBezTo>
                <a:pt x="1442" y="160"/>
                <a:pt x="1442" y="160"/>
                <a:pt x="1442" y="162"/>
              </a:cubicBezTo>
              <a:cubicBezTo>
                <a:pt x="1442" y="162"/>
                <a:pt x="1442" y="162"/>
                <a:pt x="1442" y="163"/>
              </a:cubicBezTo>
              <a:cubicBezTo>
                <a:pt x="1443" y="163"/>
                <a:pt x="1443" y="163"/>
                <a:pt x="1443" y="163"/>
              </a:cubicBezTo>
              <a:cubicBezTo>
                <a:pt x="1443" y="163"/>
                <a:pt x="1443" y="164"/>
                <a:pt x="1443" y="164"/>
              </a:cubicBezTo>
              <a:cubicBezTo>
                <a:pt x="1444" y="164"/>
                <a:pt x="1445" y="164"/>
                <a:pt x="1446" y="164"/>
              </a:cubicBezTo>
              <a:cubicBezTo>
                <a:pt x="1447" y="164"/>
                <a:pt x="1447" y="163"/>
                <a:pt x="1448" y="163"/>
              </a:cubicBezTo>
              <a:cubicBezTo>
                <a:pt x="1449" y="162"/>
                <a:pt x="1450" y="161"/>
                <a:pt x="1451" y="161"/>
              </a:cubicBezTo>
              <a:cubicBezTo>
                <a:pt x="1454" y="158"/>
                <a:pt x="1457" y="154"/>
                <a:pt x="1460" y="152"/>
              </a:cubicBezTo>
              <a:cubicBezTo>
                <a:pt x="1457" y="157"/>
                <a:pt x="1457" y="157"/>
                <a:pt x="1457" y="157"/>
              </a:cubicBezTo>
              <a:cubicBezTo>
                <a:pt x="1457" y="158"/>
                <a:pt x="1456" y="159"/>
                <a:pt x="1456" y="161"/>
              </a:cubicBezTo>
              <a:cubicBezTo>
                <a:pt x="1455" y="161"/>
                <a:pt x="1455" y="162"/>
                <a:pt x="1455" y="163"/>
              </a:cubicBezTo>
              <a:cubicBezTo>
                <a:pt x="1455" y="164"/>
                <a:pt x="1455" y="165"/>
                <a:pt x="1456" y="166"/>
              </a:cubicBezTo>
              <a:cubicBezTo>
                <a:pt x="1456" y="166"/>
                <a:pt x="1457" y="167"/>
                <a:pt x="1458" y="167"/>
              </a:cubicBezTo>
              <a:cubicBezTo>
                <a:pt x="1459" y="168"/>
                <a:pt x="1459" y="168"/>
                <a:pt x="1460" y="168"/>
              </a:cubicBezTo>
              <a:cubicBezTo>
                <a:pt x="1461" y="168"/>
                <a:pt x="1463" y="168"/>
                <a:pt x="1464" y="168"/>
              </a:cubicBezTo>
              <a:cubicBezTo>
                <a:pt x="1469" y="167"/>
                <a:pt x="1473" y="166"/>
                <a:pt x="1478" y="165"/>
              </a:cubicBezTo>
              <a:cubicBezTo>
                <a:pt x="1488" y="163"/>
                <a:pt x="1497" y="161"/>
                <a:pt x="1506" y="160"/>
              </a:cubicBezTo>
              <a:cubicBezTo>
                <a:pt x="1516" y="159"/>
                <a:pt x="1526" y="159"/>
                <a:pt x="1535" y="159"/>
              </a:cubicBezTo>
              <a:cubicBezTo>
                <a:pt x="1573" y="160"/>
                <a:pt x="1612" y="163"/>
                <a:pt x="1650" y="166"/>
              </a:cubicBezTo>
              <a:cubicBezTo>
                <a:pt x="1612" y="162"/>
                <a:pt x="1574" y="158"/>
                <a:pt x="1535" y="157"/>
              </a:cubicBezTo>
              <a:close/>
              <a:moveTo>
                <a:pt x="1045" y="74"/>
              </a:moveTo>
              <a:cubicBezTo>
                <a:pt x="1045" y="74"/>
                <a:pt x="1045" y="74"/>
                <a:pt x="1045" y="74"/>
              </a:cubicBezTo>
              <a:cubicBezTo>
                <a:pt x="1046" y="74"/>
                <a:pt x="1046" y="74"/>
                <a:pt x="1046" y="74"/>
              </a:cubicBezTo>
              <a:cubicBezTo>
                <a:pt x="1045" y="74"/>
                <a:pt x="1045" y="75"/>
                <a:pt x="1045" y="74"/>
              </a:cubicBezTo>
              <a:close/>
              <a:moveTo>
                <a:pt x="1081" y="25"/>
              </a:moveTo>
              <a:cubicBezTo>
                <a:pt x="1081" y="25"/>
                <a:pt x="1081" y="25"/>
                <a:pt x="1081" y="25"/>
              </a:cubicBezTo>
              <a:cubicBezTo>
                <a:pt x="1081" y="25"/>
                <a:pt x="1081" y="25"/>
                <a:pt x="1081" y="25"/>
              </a:cubicBezTo>
              <a:cubicBezTo>
                <a:pt x="1081" y="25"/>
                <a:pt x="1081" y="25"/>
                <a:pt x="1081" y="25"/>
              </a:cubicBezTo>
              <a:close/>
              <a:moveTo>
                <a:pt x="1084" y="30"/>
              </a:moveTo>
              <a:cubicBezTo>
                <a:pt x="1084" y="30"/>
                <a:pt x="1084" y="30"/>
                <a:pt x="1084" y="30"/>
              </a:cubicBezTo>
              <a:cubicBezTo>
                <a:pt x="1084" y="30"/>
                <a:pt x="1084" y="30"/>
                <a:pt x="1084" y="30"/>
              </a:cubicBezTo>
              <a:close/>
              <a:moveTo>
                <a:pt x="1084" y="30"/>
              </a:moveTo>
              <a:cubicBezTo>
                <a:pt x="1084" y="30"/>
                <a:pt x="1084" y="30"/>
                <a:pt x="1084" y="30"/>
              </a:cubicBezTo>
              <a:cubicBezTo>
                <a:pt x="1084" y="30"/>
                <a:pt x="1084" y="30"/>
                <a:pt x="1084" y="30"/>
              </a:cubicBezTo>
              <a:cubicBezTo>
                <a:pt x="1085" y="30"/>
                <a:pt x="1085" y="30"/>
                <a:pt x="1085" y="30"/>
              </a:cubicBezTo>
              <a:cubicBezTo>
                <a:pt x="1085" y="30"/>
                <a:pt x="1084" y="30"/>
                <a:pt x="1084" y="30"/>
              </a:cubicBezTo>
              <a:close/>
              <a:moveTo>
                <a:pt x="1123" y="130"/>
              </a:moveTo>
              <a:cubicBezTo>
                <a:pt x="1123" y="130"/>
                <a:pt x="1123" y="130"/>
                <a:pt x="1123" y="130"/>
              </a:cubicBezTo>
              <a:cubicBezTo>
                <a:pt x="1123" y="130"/>
                <a:pt x="1123" y="130"/>
                <a:pt x="1123" y="130"/>
              </a:cubicBezTo>
              <a:cubicBezTo>
                <a:pt x="1123" y="130"/>
                <a:pt x="1123" y="130"/>
                <a:pt x="1123" y="130"/>
              </a:cubicBezTo>
              <a:cubicBezTo>
                <a:pt x="1123" y="130"/>
                <a:pt x="1123" y="130"/>
                <a:pt x="1123" y="130"/>
              </a:cubicBezTo>
              <a:close/>
              <a:moveTo>
                <a:pt x="1270" y="167"/>
              </a:moveTo>
              <a:cubicBezTo>
                <a:pt x="1270" y="110"/>
                <a:pt x="1270" y="110"/>
                <a:pt x="1270" y="110"/>
              </a:cubicBezTo>
              <a:cubicBezTo>
                <a:pt x="1312" y="110"/>
                <a:pt x="1312" y="110"/>
                <a:pt x="1312" y="110"/>
              </a:cubicBezTo>
              <a:cubicBezTo>
                <a:pt x="1312" y="125"/>
                <a:pt x="1312" y="139"/>
                <a:pt x="1312" y="154"/>
              </a:cubicBezTo>
              <a:cubicBezTo>
                <a:pt x="1313" y="156"/>
                <a:pt x="1313" y="158"/>
                <a:pt x="1313" y="160"/>
              </a:cubicBezTo>
              <a:cubicBezTo>
                <a:pt x="1313" y="161"/>
                <a:pt x="1313" y="162"/>
                <a:pt x="1313" y="163"/>
              </a:cubicBezTo>
              <a:cubicBezTo>
                <a:pt x="1313" y="164"/>
                <a:pt x="1314" y="164"/>
                <a:pt x="1314" y="165"/>
              </a:cubicBezTo>
              <a:cubicBezTo>
                <a:pt x="1314" y="165"/>
                <a:pt x="1314" y="165"/>
                <a:pt x="1314" y="166"/>
              </a:cubicBezTo>
              <a:cubicBezTo>
                <a:pt x="1299" y="166"/>
                <a:pt x="1284" y="167"/>
                <a:pt x="1270" y="167"/>
              </a:cubicBezTo>
              <a:close/>
            </a:path>
          </a:pathLst>
        </a:custGeom>
        <a:solidFill>
          <a:schemeClr val="accent4"/>
        </a:solidFill>
        <a:ln>
          <a:noFill/>
        </a:ln>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4</xdr:row>
      <xdr:rowOff>12700</xdr:rowOff>
    </xdr:from>
    <xdr:to>
      <xdr:col>5</xdr:col>
      <xdr:colOff>4178300</xdr:colOff>
      <xdr:row>11</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63500</xdr:colOff>
      <xdr:row>4</xdr:row>
      <xdr:rowOff>0</xdr:rowOff>
    </xdr:from>
    <xdr:to>
      <xdr:col>11</xdr:col>
      <xdr:colOff>25400</xdr:colOff>
      <xdr:row>30</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139700</xdr:colOff>
      <xdr:row>26</xdr:row>
      <xdr:rowOff>139700</xdr:rowOff>
    </xdr:from>
    <xdr:to>
      <xdr:col>6</xdr:col>
      <xdr:colOff>203200</xdr:colOff>
      <xdr:row>51</xdr:row>
      <xdr:rowOff>25400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266700</xdr:colOff>
      <xdr:row>2</xdr:row>
      <xdr:rowOff>114300</xdr:rowOff>
    </xdr:from>
    <xdr:to>
      <xdr:col>7</xdr:col>
      <xdr:colOff>0</xdr:colOff>
      <xdr:row>24</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5</xdr:col>
      <xdr:colOff>952500</xdr:colOff>
      <xdr:row>53</xdr:row>
      <xdr:rowOff>76200</xdr:rowOff>
    </xdr:from>
    <xdr:ext cx="2422843" cy="387286"/>
    <xdr:sp macro="" textlink="">
      <xdr:nvSpPr>
        <xdr:cNvPr id="4" name="Text Box 1"/>
        <xdr:cNvSpPr txBox="1">
          <a:spLocks noChangeArrowheads="1"/>
        </xdr:cNvSpPr>
      </xdr:nvSpPr>
      <xdr:spPr bwMode="auto">
        <a:xfrm>
          <a:off x="3657600" y="8658225"/>
          <a:ext cx="2422843" cy="387286"/>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7F7F7F"/>
              </a:solidFill>
              <a:latin typeface="Arial"/>
              <a:cs typeface="Arial"/>
            </a:rPr>
            <a:t>Made in Office 2007 for</a:t>
          </a:r>
          <a:r>
            <a:rPr lang="en-US" sz="1000" b="0" i="0" strike="noStrike">
              <a:solidFill>
                <a:srgbClr val="000000"/>
              </a:solidFill>
              <a:latin typeface="Arial"/>
              <a:cs typeface="Arial"/>
            </a:rPr>
            <a:t> </a:t>
          </a:r>
          <a:r>
            <a:rPr lang="en-US" sz="1000" b="0" i="0" strike="noStrike">
              <a:solidFill>
                <a:srgbClr val="314469"/>
              </a:solidFill>
              <a:latin typeface="Arial"/>
              <a:cs typeface="Arial"/>
            </a:rPr>
            <a:t>office2007.com</a:t>
          </a:r>
        </a:p>
        <a:p>
          <a:pPr algn="l" rtl="0">
            <a:defRPr sz="1000"/>
          </a:pPr>
          <a:endParaRPr lang="en-US" sz="1000" b="0" i="0" strike="noStrike">
            <a:solidFill>
              <a:srgbClr val="000000"/>
            </a:solidFill>
            <a:latin typeface="Arial"/>
            <a:cs typeface="Arial"/>
          </a:endParaRP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2</xdr:col>
      <xdr:colOff>1042935</xdr:colOff>
      <xdr:row>2</xdr:row>
      <xdr:rowOff>157162</xdr:rowOff>
    </xdr:from>
    <xdr:to>
      <xdr:col>5</xdr:col>
      <xdr:colOff>1114425</xdr:colOff>
      <xdr:row>9</xdr:row>
      <xdr:rowOff>123825</xdr:rowOff>
    </xdr:to>
    <xdr:graphicFrame macro="">
      <xdr:nvGraphicFramePr>
        <xdr:cNvPr id="2" name="Monthly Expenses" descr="Column chart comparing Projected and Actual Total Income, Total Expenses, and Total Cash Flow." title="Budget Summary"/>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19050</xdr:colOff>
      <xdr:row>11</xdr:row>
      <xdr:rowOff>9525</xdr:rowOff>
    </xdr:from>
    <xdr:to>
      <xdr:col>1</xdr:col>
      <xdr:colOff>1933575</xdr:colOff>
      <xdr:row>13</xdr:row>
      <xdr:rowOff>238125</xdr:rowOff>
    </xdr:to>
    <xdr:grpSp>
      <xdr:nvGrpSpPr>
        <xdr:cNvPr id="3" name="Cash Flow" descr="&quot;&quot;" title="Table title: Cash Flow"/>
        <xdr:cNvGrpSpPr/>
      </xdr:nvGrpSpPr>
      <xdr:grpSpPr>
        <a:xfrm>
          <a:off x="200025" y="3676650"/>
          <a:ext cx="1914525" cy="895350"/>
          <a:chOff x="438150" y="3648075"/>
          <a:chExt cx="1914525" cy="895350"/>
        </a:xfrm>
      </xdr:grpSpPr>
      <xdr:sp macro="" textlink="">
        <xdr:nvSpPr>
          <xdr:cNvPr id="4" name="TextBox 3"/>
          <xdr:cNvSpPr txBox="1"/>
        </xdr:nvSpPr>
        <xdr:spPr>
          <a:xfrm>
            <a:off x="438150" y="3648075"/>
            <a:ext cx="1914525" cy="895350"/>
          </a:xfrm>
          <a:prstGeom prst="rect">
            <a:avLst/>
          </a:prstGeom>
          <a:noFill/>
          <a:ln w="38100" cmpd="sng">
            <a:solidFill>
              <a:schemeClr val="accent2">
                <a:lumMod val="40000"/>
                <a:lumOff val="60000"/>
              </a:schemeClr>
            </a:solidFill>
            <a:miter lim="800000"/>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grpSp>
        <xdr:nvGrpSpPr>
          <xdr:cNvPr id="5" name="Group 4"/>
          <xdr:cNvGrpSpPr/>
        </xdr:nvGrpSpPr>
        <xdr:grpSpPr>
          <a:xfrm>
            <a:off x="495300" y="3705225"/>
            <a:ext cx="1800225" cy="781050"/>
            <a:chOff x="495300" y="3705225"/>
            <a:chExt cx="1800225" cy="781050"/>
          </a:xfrm>
        </xdr:grpSpPr>
        <xdr:sp macro="" textlink="">
          <xdr:nvSpPr>
            <xdr:cNvPr id="6" name="TextBox 5"/>
            <xdr:cNvSpPr txBox="1"/>
          </xdr:nvSpPr>
          <xdr:spPr>
            <a:xfrm>
              <a:off x="495300" y="3705225"/>
              <a:ext cx="1800225" cy="781050"/>
            </a:xfrm>
            <a:prstGeom prst="rect">
              <a:avLst/>
            </a:prstGeom>
            <a:solidFill>
              <a:schemeClr val="accent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grpSp>
          <xdr:nvGrpSpPr>
            <xdr:cNvPr id="7" name="Group 6"/>
            <xdr:cNvGrpSpPr/>
          </xdr:nvGrpSpPr>
          <xdr:grpSpPr>
            <a:xfrm>
              <a:off x="695325" y="3819525"/>
              <a:ext cx="1371600" cy="542925"/>
              <a:chOff x="695325" y="3819525"/>
              <a:chExt cx="1371600" cy="542925"/>
            </a:xfrm>
          </xdr:grpSpPr>
          <xdr:sp macro="" textlink="">
            <xdr:nvSpPr>
              <xdr:cNvPr id="8" name="TextBox 7"/>
              <xdr:cNvSpPr txBox="1"/>
            </xdr:nvSpPr>
            <xdr:spPr>
              <a:xfrm>
                <a:off x="695325" y="3819525"/>
                <a:ext cx="13716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b"/>
              <a:lstStyle/>
              <a:p>
                <a:pPr algn="l"/>
                <a:r>
                  <a:rPr lang="en-US" sz="2100">
                    <a:solidFill>
                      <a:schemeClr val="bg1"/>
                    </a:solidFill>
                    <a:latin typeface="+mj-lt"/>
                  </a:rPr>
                  <a:t>Cash</a:t>
                </a:r>
              </a:p>
            </xdr:txBody>
          </xdr:sp>
          <xdr:sp macro="" textlink="">
            <xdr:nvSpPr>
              <xdr:cNvPr id="9" name="TextBox 8"/>
              <xdr:cNvSpPr txBox="1"/>
            </xdr:nvSpPr>
            <xdr:spPr>
              <a:xfrm>
                <a:off x="695325" y="4076700"/>
                <a:ext cx="13716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b"/>
              <a:lstStyle/>
              <a:p>
                <a:pPr algn="l"/>
                <a:r>
                  <a:rPr lang="en-US" sz="2100">
                    <a:solidFill>
                      <a:schemeClr val="bg1"/>
                    </a:solidFill>
                    <a:latin typeface="+mj-lt"/>
                  </a:rPr>
                  <a:t>Flow</a:t>
                </a:r>
              </a:p>
            </xdr:txBody>
          </xdr:sp>
        </xdr:grpSp>
      </xdr:grpSp>
    </xdr:grpSp>
    <xdr:clientData/>
  </xdr:twoCellAnchor>
  <xdr:twoCellAnchor>
    <xdr:from>
      <xdr:col>1</xdr:col>
      <xdr:colOff>0</xdr:colOff>
      <xdr:row>16</xdr:row>
      <xdr:rowOff>9525</xdr:rowOff>
    </xdr:from>
    <xdr:to>
      <xdr:col>1</xdr:col>
      <xdr:colOff>1914525</xdr:colOff>
      <xdr:row>18</xdr:row>
      <xdr:rowOff>238125</xdr:rowOff>
    </xdr:to>
    <xdr:grpSp>
      <xdr:nvGrpSpPr>
        <xdr:cNvPr id="10" name="Monthly Income" descr="&quot;&quot;" title="Table title: Monthly Income"/>
        <xdr:cNvGrpSpPr/>
      </xdr:nvGrpSpPr>
      <xdr:grpSpPr>
        <a:xfrm>
          <a:off x="180975" y="5343525"/>
          <a:ext cx="1914525" cy="895350"/>
          <a:chOff x="438150" y="3648075"/>
          <a:chExt cx="1914525" cy="895350"/>
        </a:xfrm>
      </xdr:grpSpPr>
      <xdr:sp macro="" textlink="">
        <xdr:nvSpPr>
          <xdr:cNvPr id="11" name="TextBox 10"/>
          <xdr:cNvSpPr txBox="1"/>
        </xdr:nvSpPr>
        <xdr:spPr>
          <a:xfrm>
            <a:off x="438150" y="3648075"/>
            <a:ext cx="1914525" cy="895350"/>
          </a:xfrm>
          <a:prstGeom prst="rect">
            <a:avLst/>
          </a:prstGeom>
          <a:noFill/>
          <a:ln w="38100" cmpd="sng">
            <a:solidFill>
              <a:schemeClr val="accent5">
                <a:lumMod val="40000"/>
                <a:lumOff val="60000"/>
              </a:schemeClr>
            </a:solidFill>
            <a:miter lim="800000"/>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grpSp>
        <xdr:nvGrpSpPr>
          <xdr:cNvPr id="12" name="Group 11"/>
          <xdr:cNvGrpSpPr/>
        </xdr:nvGrpSpPr>
        <xdr:grpSpPr>
          <a:xfrm>
            <a:off x="495300" y="3705225"/>
            <a:ext cx="1800225" cy="781050"/>
            <a:chOff x="495300" y="3705225"/>
            <a:chExt cx="1800225" cy="781050"/>
          </a:xfrm>
        </xdr:grpSpPr>
        <xdr:sp macro="" textlink="">
          <xdr:nvSpPr>
            <xdr:cNvPr id="13" name="TextBox 12"/>
            <xdr:cNvSpPr txBox="1"/>
          </xdr:nvSpPr>
          <xdr:spPr>
            <a:xfrm>
              <a:off x="495300" y="3705225"/>
              <a:ext cx="1800225" cy="781050"/>
            </a:xfrm>
            <a:prstGeom prst="rect">
              <a:avLst/>
            </a:prstGeom>
            <a:solidFill>
              <a:schemeClr val="accent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grpSp>
          <xdr:nvGrpSpPr>
            <xdr:cNvPr id="14" name="Group 13"/>
            <xdr:cNvGrpSpPr/>
          </xdr:nvGrpSpPr>
          <xdr:grpSpPr>
            <a:xfrm>
              <a:off x="695325" y="3819525"/>
              <a:ext cx="1371600" cy="542925"/>
              <a:chOff x="695325" y="3819525"/>
              <a:chExt cx="1371600" cy="542925"/>
            </a:xfrm>
          </xdr:grpSpPr>
          <xdr:sp macro="" textlink="">
            <xdr:nvSpPr>
              <xdr:cNvPr id="15" name="TextBox 14"/>
              <xdr:cNvSpPr txBox="1"/>
            </xdr:nvSpPr>
            <xdr:spPr>
              <a:xfrm>
                <a:off x="695325" y="3819525"/>
                <a:ext cx="13716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b"/>
              <a:lstStyle/>
              <a:p>
                <a:pPr algn="l"/>
                <a:r>
                  <a:rPr lang="en-US" sz="2100">
                    <a:solidFill>
                      <a:schemeClr val="bg1"/>
                    </a:solidFill>
                    <a:latin typeface="+mj-lt"/>
                  </a:rPr>
                  <a:t>Monthly</a:t>
                </a:r>
              </a:p>
            </xdr:txBody>
          </xdr:sp>
          <xdr:sp macro="" textlink="">
            <xdr:nvSpPr>
              <xdr:cNvPr id="16" name="TextBox 15"/>
              <xdr:cNvSpPr txBox="1"/>
            </xdr:nvSpPr>
            <xdr:spPr>
              <a:xfrm>
                <a:off x="695325" y="4076700"/>
                <a:ext cx="13716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b"/>
              <a:lstStyle/>
              <a:p>
                <a:pPr algn="l"/>
                <a:r>
                  <a:rPr lang="en-US" sz="2100">
                    <a:solidFill>
                      <a:schemeClr val="bg1"/>
                    </a:solidFill>
                    <a:latin typeface="+mj-lt"/>
                  </a:rPr>
                  <a:t>Income</a:t>
                </a:r>
              </a:p>
            </xdr:txBody>
          </xdr:sp>
        </xdr:grpSp>
      </xdr:grpSp>
    </xdr:grpSp>
    <xdr:clientData/>
  </xdr:twoCellAnchor>
  <xdr:twoCellAnchor>
    <xdr:from>
      <xdr:col>1</xdr:col>
      <xdr:colOff>0</xdr:colOff>
      <xdr:row>23</xdr:row>
      <xdr:rowOff>0</xdr:rowOff>
    </xdr:from>
    <xdr:to>
      <xdr:col>1</xdr:col>
      <xdr:colOff>1914525</xdr:colOff>
      <xdr:row>25</xdr:row>
      <xdr:rowOff>228600</xdr:rowOff>
    </xdr:to>
    <xdr:grpSp>
      <xdr:nvGrpSpPr>
        <xdr:cNvPr id="17" name="Monthly Expenses" title="Table title: Monthly Expenses"/>
        <xdr:cNvGrpSpPr/>
      </xdr:nvGrpSpPr>
      <xdr:grpSpPr>
        <a:xfrm>
          <a:off x="180975" y="7667625"/>
          <a:ext cx="1914525" cy="895350"/>
          <a:chOff x="438150" y="3648075"/>
          <a:chExt cx="1914525" cy="895350"/>
        </a:xfrm>
      </xdr:grpSpPr>
      <xdr:sp macro="" textlink="">
        <xdr:nvSpPr>
          <xdr:cNvPr id="18" name="TextBox 17"/>
          <xdr:cNvSpPr txBox="1"/>
        </xdr:nvSpPr>
        <xdr:spPr>
          <a:xfrm>
            <a:off x="438150" y="3648075"/>
            <a:ext cx="1914525" cy="895350"/>
          </a:xfrm>
          <a:prstGeom prst="rect">
            <a:avLst/>
          </a:prstGeom>
          <a:noFill/>
          <a:ln w="38100" cmpd="sng">
            <a:solidFill>
              <a:schemeClr val="accent4">
                <a:lumMod val="40000"/>
                <a:lumOff val="60000"/>
              </a:schemeClr>
            </a:solidFill>
            <a:miter lim="800000"/>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grpSp>
        <xdr:nvGrpSpPr>
          <xdr:cNvPr id="19" name="Group 18"/>
          <xdr:cNvGrpSpPr/>
        </xdr:nvGrpSpPr>
        <xdr:grpSpPr>
          <a:xfrm>
            <a:off x="495300" y="3705225"/>
            <a:ext cx="1800225" cy="781050"/>
            <a:chOff x="495300" y="3705225"/>
            <a:chExt cx="1800225" cy="781050"/>
          </a:xfrm>
        </xdr:grpSpPr>
        <xdr:sp macro="" textlink="">
          <xdr:nvSpPr>
            <xdr:cNvPr id="20" name="TextBox 19"/>
            <xdr:cNvSpPr txBox="1"/>
          </xdr:nvSpPr>
          <xdr:spPr>
            <a:xfrm>
              <a:off x="495300" y="3705225"/>
              <a:ext cx="1800225" cy="781050"/>
            </a:xfrm>
            <a:prstGeom prst="rect">
              <a:avLst/>
            </a:prstGeom>
            <a:solidFill>
              <a:schemeClr val="accent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grpSp>
          <xdr:nvGrpSpPr>
            <xdr:cNvPr id="21" name="Group 20"/>
            <xdr:cNvGrpSpPr/>
          </xdr:nvGrpSpPr>
          <xdr:grpSpPr>
            <a:xfrm>
              <a:off x="695325" y="3819525"/>
              <a:ext cx="1371600" cy="542925"/>
              <a:chOff x="695325" y="3819525"/>
              <a:chExt cx="1371600" cy="542925"/>
            </a:xfrm>
          </xdr:grpSpPr>
          <xdr:sp macro="" textlink="">
            <xdr:nvSpPr>
              <xdr:cNvPr id="22" name="TextBox 21"/>
              <xdr:cNvSpPr txBox="1"/>
            </xdr:nvSpPr>
            <xdr:spPr>
              <a:xfrm>
                <a:off x="695325" y="3819525"/>
                <a:ext cx="13716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b"/>
              <a:lstStyle/>
              <a:p>
                <a:pPr algn="l"/>
                <a:r>
                  <a:rPr lang="en-US" sz="2100">
                    <a:solidFill>
                      <a:schemeClr val="bg1"/>
                    </a:solidFill>
                    <a:latin typeface="+mj-lt"/>
                  </a:rPr>
                  <a:t>Monthly</a:t>
                </a:r>
              </a:p>
            </xdr:txBody>
          </xdr:sp>
          <xdr:sp macro="" textlink="">
            <xdr:nvSpPr>
              <xdr:cNvPr id="23" name="TextBox 22"/>
              <xdr:cNvSpPr txBox="1"/>
            </xdr:nvSpPr>
            <xdr:spPr>
              <a:xfrm>
                <a:off x="695325" y="4076700"/>
                <a:ext cx="13716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b"/>
              <a:lstStyle/>
              <a:p>
                <a:pPr algn="l"/>
                <a:r>
                  <a:rPr lang="en-US" sz="2100">
                    <a:solidFill>
                      <a:schemeClr val="bg1"/>
                    </a:solidFill>
                    <a:latin typeface="+mj-lt"/>
                  </a:rPr>
                  <a:t>Expenses</a:t>
                </a:r>
              </a:p>
            </xdr:txBody>
          </xdr:sp>
        </xdr:grpSp>
      </xdr:grpSp>
    </xdr:grpSp>
    <xdr:clientData/>
  </xdr:twoCellAnchor>
  <xdr:twoCellAnchor>
    <xdr:from>
      <xdr:col>1</xdr:col>
      <xdr:colOff>85624</xdr:colOff>
      <xdr:row>1</xdr:row>
      <xdr:rowOff>57149</xdr:rowOff>
    </xdr:from>
    <xdr:to>
      <xdr:col>2</xdr:col>
      <xdr:colOff>845112</xdr:colOff>
      <xdr:row>9</xdr:row>
      <xdr:rowOff>133349</xdr:rowOff>
    </xdr:to>
    <xdr:grpSp>
      <xdr:nvGrpSpPr>
        <xdr:cNvPr id="24" name="Sheet title" descr="Family Montly Budget Planner" title="Sheet title"/>
        <xdr:cNvGrpSpPr/>
      </xdr:nvGrpSpPr>
      <xdr:grpSpPr>
        <a:xfrm>
          <a:off x="266599" y="390524"/>
          <a:ext cx="2921663" cy="2743200"/>
          <a:chOff x="403124" y="390524"/>
          <a:chExt cx="2918488" cy="2743200"/>
        </a:xfrm>
      </xdr:grpSpPr>
      <xdr:sp macro="" textlink="">
        <xdr:nvSpPr>
          <xdr:cNvPr id="25" name="TextBox 24"/>
          <xdr:cNvSpPr txBox="1"/>
        </xdr:nvSpPr>
        <xdr:spPr>
          <a:xfrm>
            <a:off x="403124" y="390524"/>
            <a:ext cx="2918488" cy="2743200"/>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sp macro="" textlink="">
        <xdr:nvSpPr>
          <xdr:cNvPr id="26" name="TextBox 25" descr="&quot;&quot;" title="Text box text: Family Monthly"/>
          <xdr:cNvSpPr txBox="1"/>
        </xdr:nvSpPr>
        <xdr:spPr>
          <a:xfrm>
            <a:off x="612356" y="685800"/>
            <a:ext cx="2507629"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b"/>
          <a:lstStyle/>
          <a:p>
            <a:pPr algn="l"/>
            <a:r>
              <a:rPr lang="en-US" sz="1600">
                <a:solidFill>
                  <a:schemeClr val="bg1"/>
                </a:solidFill>
              </a:rPr>
              <a:t>FAMILY</a:t>
            </a:r>
            <a:r>
              <a:rPr lang="en-US" sz="1600" baseline="0">
                <a:solidFill>
                  <a:schemeClr val="bg1"/>
                </a:solidFill>
              </a:rPr>
              <a:t> MONTHLY</a:t>
            </a:r>
            <a:endParaRPr lang="en-US" sz="1600">
              <a:solidFill>
                <a:schemeClr val="bg1"/>
              </a:solidFill>
            </a:endParaRPr>
          </a:p>
        </xdr:txBody>
      </xdr:sp>
      <xdr:grpSp>
        <xdr:nvGrpSpPr>
          <xdr:cNvPr id="27" name="Group 26"/>
          <xdr:cNvGrpSpPr/>
        </xdr:nvGrpSpPr>
        <xdr:grpSpPr>
          <a:xfrm>
            <a:off x="593334" y="1247775"/>
            <a:ext cx="2507631" cy="1085851"/>
            <a:chOff x="599684" y="1247775"/>
            <a:chExt cx="2510806" cy="1085851"/>
          </a:xfrm>
        </xdr:grpSpPr>
        <xdr:sp macro="" textlink="">
          <xdr:nvSpPr>
            <xdr:cNvPr id="32" name="TextBox 31" descr="&quot;&quot;" title="Text in text box: Budget"/>
            <xdr:cNvSpPr txBox="1"/>
          </xdr:nvSpPr>
          <xdr:spPr>
            <a:xfrm>
              <a:off x="599686" y="1247775"/>
              <a:ext cx="2510804" cy="581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b"/>
            <a:lstStyle/>
            <a:p>
              <a:pPr algn="l"/>
              <a:r>
                <a:rPr lang="en-US" sz="4200">
                  <a:solidFill>
                    <a:schemeClr val="bg1"/>
                  </a:solidFill>
                  <a:latin typeface="+mj-lt"/>
                </a:rPr>
                <a:t>Budget</a:t>
              </a:r>
            </a:p>
          </xdr:txBody>
        </xdr:sp>
        <xdr:sp macro="" textlink="">
          <xdr:nvSpPr>
            <xdr:cNvPr id="33" name="TextBox 32" descr="&quot;&quot;" title="Text in text box: Planner"/>
            <xdr:cNvSpPr txBox="1"/>
          </xdr:nvSpPr>
          <xdr:spPr>
            <a:xfrm>
              <a:off x="599684" y="1752600"/>
              <a:ext cx="2510804" cy="581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b"/>
            <a:lstStyle/>
            <a:p>
              <a:pPr algn="l"/>
              <a:r>
                <a:rPr lang="en-US" sz="4200">
                  <a:solidFill>
                    <a:schemeClr val="bg1"/>
                  </a:solidFill>
                  <a:latin typeface="+mj-lt"/>
                </a:rPr>
                <a:t>Planner</a:t>
              </a:r>
            </a:p>
          </xdr:txBody>
        </xdr:sp>
      </xdr:grpSp>
      <xdr:grpSp>
        <xdr:nvGrpSpPr>
          <xdr:cNvPr id="28" name="Group 27"/>
          <xdr:cNvGrpSpPr/>
        </xdr:nvGrpSpPr>
        <xdr:grpSpPr>
          <a:xfrm>
            <a:off x="612357" y="2371725"/>
            <a:ext cx="2308159" cy="95250"/>
            <a:chOff x="9363075" y="6781800"/>
            <a:chExt cx="2314575" cy="95250"/>
          </a:xfrm>
        </xdr:grpSpPr>
        <xdr:cxnSp macro="">
          <xdr:nvCxnSpPr>
            <xdr:cNvPr id="30" name="Straight Connector 29" descr="&quot;&quot;" title="Dashed border"/>
            <xdr:cNvCxnSpPr/>
          </xdr:nvCxnSpPr>
          <xdr:spPr>
            <a:xfrm>
              <a:off x="9363075" y="6781800"/>
              <a:ext cx="2314575" cy="0"/>
            </a:xfrm>
            <a:prstGeom prst="line">
              <a:avLst/>
            </a:prstGeom>
            <a:ln w="12700">
              <a:solidFill>
                <a:schemeClr val="bg1"/>
              </a:solidFill>
              <a:prstDash val="sysDash"/>
            </a:ln>
          </xdr:spPr>
          <xdr:style>
            <a:lnRef idx="1">
              <a:schemeClr val="accent1"/>
            </a:lnRef>
            <a:fillRef idx="0">
              <a:schemeClr val="accent1"/>
            </a:fillRef>
            <a:effectRef idx="0">
              <a:schemeClr val="accent1"/>
            </a:effectRef>
            <a:fontRef idx="minor">
              <a:schemeClr val="tx1"/>
            </a:fontRef>
          </xdr:style>
        </xdr:cxnSp>
        <xdr:cxnSp macro="">
          <xdr:nvCxnSpPr>
            <xdr:cNvPr id="31" name="Straight Connector 30" descr="&quot;&quot;" title="Workbook title border"/>
            <xdr:cNvCxnSpPr/>
          </xdr:nvCxnSpPr>
          <xdr:spPr>
            <a:xfrm>
              <a:off x="9363075" y="6877050"/>
              <a:ext cx="2314575" cy="0"/>
            </a:xfrm>
            <a:prstGeom prst="line">
              <a:avLst/>
            </a:prstGeom>
            <a:ln w="79375">
              <a:solidFill>
                <a:schemeClr val="bg1"/>
              </a:solidFill>
              <a:prstDash val="solid"/>
            </a:ln>
          </xdr:spPr>
          <xdr:style>
            <a:lnRef idx="1">
              <a:schemeClr val="accent1"/>
            </a:lnRef>
            <a:fillRef idx="0">
              <a:schemeClr val="accent1"/>
            </a:fillRef>
            <a:effectRef idx="0">
              <a:schemeClr val="accent1"/>
            </a:effectRef>
            <a:fontRef idx="minor">
              <a:schemeClr val="tx1"/>
            </a:fontRef>
          </xdr:style>
        </xdr:cxnSp>
      </xdr:grpSp>
      <xdr:cxnSp macro="">
        <xdr:nvCxnSpPr>
          <xdr:cNvPr id="29" name="Straight Connector 28" descr="&quot;&quot;" title="Dashed border"/>
          <xdr:cNvCxnSpPr/>
        </xdr:nvCxnSpPr>
        <xdr:spPr>
          <a:xfrm>
            <a:off x="612357" y="1009650"/>
            <a:ext cx="2307906" cy="0"/>
          </a:xfrm>
          <a:prstGeom prst="line">
            <a:avLst/>
          </a:prstGeom>
          <a:ln w="12700">
            <a:solidFill>
              <a:schemeClr val="bg1"/>
            </a:solidFill>
            <a:prstDash val="sysDash"/>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9526</xdr:colOff>
      <xdr:row>0</xdr:row>
      <xdr:rowOff>323851</xdr:rowOff>
    </xdr:from>
    <xdr:to>
      <xdr:col>6</xdr:col>
      <xdr:colOff>1</xdr:colOff>
      <xdr:row>9</xdr:row>
      <xdr:rowOff>209550</xdr:rowOff>
    </xdr:to>
    <xdr:sp macro="" textlink="">
      <xdr:nvSpPr>
        <xdr:cNvPr id="34" name="Title border" descr="&quot;&quot;" title="Title border"/>
        <xdr:cNvSpPr/>
      </xdr:nvSpPr>
      <xdr:spPr>
        <a:xfrm>
          <a:off x="619126" y="190501"/>
          <a:ext cx="3038475" cy="1714499"/>
        </a:xfrm>
        <a:prstGeom prst="rect">
          <a:avLst/>
        </a:prstGeom>
        <a:noFill/>
        <a:ln>
          <a:solidFill>
            <a:schemeClr val="accent1">
              <a:lumMod val="40000"/>
              <a:lumOff val="60000"/>
            </a:schemeClr>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US" sz="1100"/>
        </a:p>
      </xdr:txBody>
    </xdr:sp>
    <xdr:clientData/>
  </xdr:twoCellAnchor>
  <xdr:oneCellAnchor>
    <xdr:from>
      <xdr:col>1</xdr:col>
      <xdr:colOff>294856</xdr:colOff>
      <xdr:row>7</xdr:row>
      <xdr:rowOff>142875</xdr:rowOff>
    </xdr:from>
    <xdr:ext cx="2510804" cy="314325"/>
    <xdr:sp macro="" textlink="">
      <xdr:nvSpPr>
        <xdr:cNvPr id="35" name="Current Month" descr="Displays current budget month and year." title="Current Month"/>
        <xdr:cNvSpPr txBox="1"/>
      </xdr:nvSpPr>
      <xdr:spPr>
        <a:xfrm>
          <a:off x="904456" y="1476375"/>
          <a:ext cx="2510804"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b"/>
        <a:lstStyle/>
        <a:p>
          <a:pPr algn="l"/>
          <a:r>
            <a:rPr lang="en-US" sz="1500">
              <a:solidFill>
                <a:schemeClr val="bg1"/>
              </a:solidFill>
              <a:latin typeface="+mj-lt"/>
            </a:rPr>
            <a:t>March</a:t>
          </a:r>
          <a:r>
            <a:rPr lang="en-US" sz="1500" baseline="0">
              <a:solidFill>
                <a:schemeClr val="bg1"/>
              </a:solidFill>
              <a:latin typeface="+mj-lt"/>
            </a:rPr>
            <a:t> 2011</a:t>
          </a:r>
          <a:endParaRPr lang="en-US" sz="1500">
            <a:solidFill>
              <a:schemeClr val="bg1"/>
            </a:solidFill>
            <a:latin typeface="+mj-lt"/>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5</xdr:col>
      <xdr:colOff>114301</xdr:colOff>
      <xdr:row>12</xdr:row>
      <xdr:rowOff>80961</xdr:rowOff>
    </xdr:from>
    <xdr:to>
      <xdr:col>26</xdr:col>
      <xdr:colOff>190501</xdr:colOff>
      <xdr:row>22</xdr:row>
      <xdr:rowOff>76201</xdr:rowOff>
    </xdr:to>
    <xdr:grpSp>
      <xdr:nvGrpSpPr>
        <xdr:cNvPr id="2" name="How to use the Color Key group" descr="Customize the values in the Color Key  on the January Absence Schedule sheet to fit your needs. Any changes you make will automatically update throughout the workbook.  To modify the key colors, on the Page Layout tab, in the Themes group, click Colors and select another color set or click Create New Theme Colors.  (Notes in this workbook do not print. To delete any note in this workbook, select it and then press the Delete key.)" title="How to use the Color Key group"/>
        <xdr:cNvGrpSpPr/>
      </xdr:nvGrpSpPr>
      <xdr:grpSpPr>
        <a:xfrm>
          <a:off x="2800351" y="3014661"/>
          <a:ext cx="5676900" cy="1900240"/>
          <a:chOff x="3629025" y="2986088"/>
          <a:chExt cx="6705600" cy="1810111"/>
        </a:xfrm>
      </xdr:grpSpPr>
      <xdr:sp macro="" textlink="">
        <xdr:nvSpPr>
          <xdr:cNvPr id="3" name="Note text" descr="Customize the values in the Color Key  on the January Absence Schedule sheet to fit your needs. Any changes you make will automatically update throughout the workbook.  To modify the key colors, on the Page Layout tab, in the Themes group, click Colors and select another color set or click Create New Theme Colors.  (Notes in this workbook do not print. To delete any note in this workbook, select it and then press the Delete key.)&#10;" title="How to use the Color Key"/>
          <xdr:cNvSpPr txBox="1"/>
        </xdr:nvSpPr>
        <xdr:spPr>
          <a:xfrm>
            <a:off x="3629025" y="3629025"/>
            <a:ext cx="6705600" cy="11671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tx2"/>
                </a:solidFill>
              </a:rPr>
              <a:t>Customize</a:t>
            </a:r>
            <a:r>
              <a:rPr lang="en-US" sz="1000" baseline="0">
                <a:solidFill>
                  <a:schemeClr val="tx2"/>
                </a:solidFill>
              </a:rPr>
              <a:t> the values in the Color Key on the January Absence Schedule sheet to fit your needs. Any changes you make will automatically update throughout the workbook.  To modify the key colors, on the Page Layout tab, in the Themes group, click Colors and select another color set or click Create New Theme Colors.  </a:t>
            </a:r>
          </a:p>
          <a:p>
            <a:endParaRPr lang="en-US" sz="1000" baseline="0">
              <a:solidFill>
                <a:schemeClr val="tx2"/>
              </a:solidFill>
            </a:endParaRPr>
          </a:p>
          <a:p>
            <a:r>
              <a:rPr lang="en-US" sz="1000" baseline="0">
                <a:solidFill>
                  <a:schemeClr val="tx2"/>
                </a:solidFill>
              </a:rPr>
              <a:t>Notes in this workbook do not print. To delete any note in this workbook, click the edge to select it and then press the Delete key.</a:t>
            </a:r>
          </a:p>
          <a:p>
            <a:endParaRPr lang="en-US" sz="1000">
              <a:solidFill>
                <a:schemeClr val="tx2"/>
              </a:solidFill>
            </a:endParaRPr>
          </a:p>
        </xdr:txBody>
      </xdr:sp>
      <xdr:sp macro="" textlink="">
        <xdr:nvSpPr>
          <xdr:cNvPr id="4" name="Callout brace" title="Data entry note bracket"/>
          <xdr:cNvSpPr/>
        </xdr:nvSpPr>
        <xdr:spPr>
          <a:xfrm rot="5400000">
            <a:off x="6648451" y="157161"/>
            <a:ext cx="609600" cy="6267453"/>
          </a:xfrm>
          <a:prstGeom prst="rightBrace">
            <a:avLst/>
          </a:prstGeom>
          <a:ln>
            <a:solidFill>
              <a:schemeClr val="accent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fPrintsWithSheet="0"/>
  </xdr:twoCellAnchor>
  <xdr:twoCellAnchor>
    <xdr:from>
      <xdr:col>32</xdr:col>
      <xdr:colOff>180975</xdr:colOff>
      <xdr:row>0</xdr:row>
      <xdr:rowOff>609600</xdr:rowOff>
    </xdr:from>
    <xdr:to>
      <xdr:col>33</xdr:col>
      <xdr:colOff>104775</xdr:colOff>
      <xdr:row>1</xdr:row>
      <xdr:rowOff>171451</xdr:rowOff>
    </xdr:to>
    <xdr:sp macro="" textlink="">
      <xdr:nvSpPr>
        <xdr:cNvPr id="5" name="Data Entry Note" descr="Enter Year: Type year in cell AG2" title="Data Entry Tip"/>
        <xdr:cNvSpPr txBox="1"/>
      </xdr:nvSpPr>
      <xdr:spPr>
        <a:xfrm>
          <a:off x="19688175" y="190500"/>
          <a:ext cx="533400" cy="171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accent1">
                  <a:lumMod val="75000"/>
                </a:schemeClr>
              </a:solidFill>
            </a:rPr>
            <a:t>Enter Year:</a:t>
          </a:r>
        </a:p>
      </xdr:txBody>
    </xdr:sp>
    <xdr:clientData fPrintsWithSheet="0"/>
  </xdr:twoCellAnchor>
  <xdr:twoCellAnchor>
    <xdr:from>
      <xdr:col>33</xdr:col>
      <xdr:colOff>85725</xdr:colOff>
      <xdr:row>7</xdr:row>
      <xdr:rowOff>152400</xdr:rowOff>
    </xdr:from>
    <xdr:to>
      <xdr:col>36</xdr:col>
      <xdr:colOff>200025</xdr:colOff>
      <xdr:row>12</xdr:row>
      <xdr:rowOff>74820</xdr:rowOff>
    </xdr:to>
    <xdr:grpSp>
      <xdr:nvGrpSpPr>
        <xdr:cNvPr id="6" name="Group 5"/>
        <xdr:cNvGrpSpPr/>
      </xdr:nvGrpSpPr>
      <xdr:grpSpPr>
        <a:xfrm>
          <a:off x="10877550" y="2133600"/>
          <a:ext cx="1943100" cy="874920"/>
          <a:chOff x="10877550" y="2152650"/>
          <a:chExt cx="1943100" cy="874920"/>
        </a:xfrm>
      </xdr:grpSpPr>
      <xdr:sp macro="" textlink="">
        <xdr:nvSpPr>
          <xdr:cNvPr id="7" name="TextBox 6" descr="To add a new employee, select the Total Days cell for the last employee and then press the Tab key. " title="Tip"/>
          <xdr:cNvSpPr txBox="1"/>
        </xdr:nvSpPr>
        <xdr:spPr>
          <a:xfrm>
            <a:off x="11191876" y="2152650"/>
            <a:ext cx="1628774" cy="874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000">
                <a:solidFill>
                  <a:schemeClr val="tx2"/>
                </a:solidFill>
                <a:effectLst/>
                <a:latin typeface="+mn-lt"/>
                <a:ea typeface="+mn-ea"/>
                <a:cs typeface="+mn-cs"/>
              </a:rPr>
              <a:t>To add a new employee, select the Total</a:t>
            </a:r>
            <a:r>
              <a:rPr lang="en-US" sz="1000" baseline="0">
                <a:solidFill>
                  <a:schemeClr val="tx2"/>
                </a:solidFill>
                <a:effectLst/>
                <a:latin typeface="+mn-lt"/>
                <a:ea typeface="+mn-ea"/>
                <a:cs typeface="+mn-cs"/>
              </a:rPr>
              <a:t> Days cell for the last employee and then </a:t>
            </a:r>
            <a:r>
              <a:rPr lang="en-US" sz="1000">
                <a:solidFill>
                  <a:schemeClr val="tx2"/>
                </a:solidFill>
                <a:effectLst/>
                <a:latin typeface="+mn-lt"/>
                <a:ea typeface="+mn-ea"/>
                <a:cs typeface="+mn-cs"/>
              </a:rPr>
              <a:t>press the Tab key</a:t>
            </a:r>
            <a:r>
              <a:rPr lang="en-US" sz="1000" baseline="0">
                <a:solidFill>
                  <a:schemeClr val="tx2"/>
                </a:solidFill>
                <a:effectLst/>
                <a:latin typeface="+mn-lt"/>
                <a:ea typeface="+mn-ea"/>
                <a:cs typeface="+mn-cs"/>
              </a:rPr>
              <a:t>. </a:t>
            </a:r>
            <a:endParaRPr lang="en-US" sz="1000">
              <a:solidFill>
                <a:schemeClr val="tx2"/>
              </a:solidFill>
              <a:effectLst/>
            </a:endParaRPr>
          </a:p>
          <a:p>
            <a:endParaRPr lang="en-US" sz="1000">
              <a:solidFill>
                <a:schemeClr val="tx2"/>
              </a:solidFill>
            </a:endParaRPr>
          </a:p>
        </xdr:txBody>
      </xdr:sp>
      <xdr:cxnSp macro="">
        <xdr:nvCxnSpPr>
          <xdr:cNvPr id="8" name="Straight Arrow Connector 7"/>
          <xdr:cNvCxnSpPr/>
        </xdr:nvCxnSpPr>
        <xdr:spPr>
          <a:xfrm>
            <a:off x="10877550" y="2286000"/>
            <a:ext cx="342900" cy="0"/>
          </a:xfrm>
          <a:prstGeom prst="straightConnector1">
            <a:avLst/>
          </a:prstGeom>
          <a:ln>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oneCellAnchor>
        <xdr:from>
          <xdr:col>14</xdr:col>
          <xdr:colOff>66675</xdr:colOff>
          <xdr:row>2</xdr:row>
          <xdr:rowOff>28575</xdr:rowOff>
        </xdr:from>
        <xdr:ext cx="133350" cy="228600"/>
        <xdr:sp macro="" textlink="">
          <xdr:nvSpPr>
            <xdr:cNvPr id="4097" name="Spinner 1" descr="Period Highlight Spin Control"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sp>
        <xdr:clientData fPrintsWithSheet="0"/>
      </xdr:oneCellAnchor>
    </mc:Choice>
    <mc:Fallback/>
  </mc:AlternateContent>
</xdr:wsDr>
</file>

<file path=xl/tables/table1.xml><?xml version="1.0" encoding="utf-8"?>
<table xmlns="http://schemas.openxmlformats.org/spreadsheetml/2006/main" id="16" name="tblTotal" displayName="tblTotal" ref="B5:D8" totalsRowShown="0" headerRowDxfId="346" dataDxfId="345">
  <autoFilter ref="B5:D8">
    <filterColumn colId="0" hiddenButton="1"/>
    <filterColumn colId="1" hiddenButton="1"/>
    <filterColumn colId="2" hiddenButton="1"/>
  </autoFilter>
  <tableColumns count="3">
    <tableColumn id="1" name=" " dataDxfId="344"/>
    <tableColumn id="2" name="Estimated" dataDxfId="343"/>
    <tableColumn id="3" name="Actual" dataDxfId="342"/>
  </tableColumns>
  <tableStyleInfo name="TableStyleLight11" showFirstColumn="0" showLastColumn="0" showRowStripes="1" showColumnStripes="0"/>
  <extLst>
    <ext xmlns:x14="http://schemas.microsoft.com/office/spreadsheetml/2009/9/main" uri="{504A1905-F514-4f6f-8877-14C23A59335A}">
      <x14:table altText="Totals table" altTextSummary="Dashboard table calculated all estimated and actuals from INCOME and EXPENSES sheets."/>
    </ext>
  </extLst>
</table>
</file>

<file path=xl/tables/table10.xml><?xml version="1.0" encoding="utf-8"?>
<table xmlns="http://schemas.openxmlformats.org/spreadsheetml/2006/main" id="21" name="tblPublicity" displayName="tblPublicity" ref="B24:D28" totalsRowCount="1" headerRowDxfId="335">
  <autoFilter ref="B24:D27"/>
  <tableColumns count="3">
    <tableColumn id="1" name="Publicity" totalsRowLabel="Total"/>
    <tableColumn id="2" name="Estimated" totalsRowFunction="sum"/>
    <tableColumn id="3" name="Actual" totalsRowFunction="sum"/>
  </tableColumns>
  <tableStyleInfo name="TableStyleLight12" showFirstColumn="0" showLastColumn="0" showRowStripes="1" showColumnStripes="0"/>
  <extLst>
    <ext xmlns:x14="http://schemas.microsoft.com/office/spreadsheetml/2009/9/main" uri="{504A1905-F514-4f6f-8877-14C23A59335A}">
      <x14:table altText="Publicity table" altTextSummary="Enter publicity estimated and actual values."/>
    </ext>
  </extLst>
</table>
</file>

<file path=xl/tables/table11.xml><?xml version="1.0" encoding="utf-8"?>
<table xmlns="http://schemas.openxmlformats.org/spreadsheetml/2006/main" id="22" name="tblPrizes" displayName="tblPrizes" ref="F24:H27" totalsRowCount="1" headerRowDxfId="334">
  <autoFilter ref="F24:H26"/>
  <tableColumns count="3">
    <tableColumn id="1" name="Prizes" totalsRowLabel="Total"/>
    <tableColumn id="2" name="Estimated" totalsRowFunction="sum"/>
    <tableColumn id="3" name="Actual" totalsRowFunction="sum"/>
  </tableColumns>
  <tableStyleInfo name="TableStyleLight12" showFirstColumn="0" showLastColumn="0" showRowStripes="1" showColumnStripes="0"/>
  <extLst>
    <ext xmlns:x14="http://schemas.microsoft.com/office/spreadsheetml/2009/9/main" uri="{504A1905-F514-4f6f-8877-14C23A59335A}">
      <x14:table altText="Prizes table" altTextSummary="Enter prize estimated and actual values."/>
    </ext>
  </extLst>
</table>
</file>

<file path=xl/tables/table12.xml><?xml version="1.0" encoding="utf-8"?>
<table xmlns="http://schemas.openxmlformats.org/spreadsheetml/2006/main" id="23" name="tblMisc" displayName="tblMisc" ref="B31:D36" totalsRowCount="1" headerRowDxfId="333">
  <autoFilter ref="B31:D35"/>
  <tableColumns count="3">
    <tableColumn id="1" name="Miscellaneous" totalsRowLabel="Total"/>
    <tableColumn id="2" name="Estimated" totalsRowFunction="sum"/>
    <tableColumn id="3" name="Actual" totalsRowFunction="sum"/>
  </tableColumns>
  <tableStyleInfo name="TableStyleLight12" showFirstColumn="0" showLastColumn="0" showRowStripes="1" showColumnStripes="0"/>
  <extLst>
    <ext xmlns:x14="http://schemas.microsoft.com/office/spreadsheetml/2009/9/main" uri="{504A1905-F514-4f6f-8877-14C23A59335A}">
      <x14:table altText="Miscellaneous table" altTextSummary="Enter miscellaneous items estimated and actual values."/>
    </ext>
  </extLst>
</table>
</file>

<file path=xl/tables/table13.xml><?xml version="1.0" encoding="utf-8"?>
<table xmlns="http://schemas.openxmlformats.org/spreadsheetml/2006/main" id="29" name="tblFebruary" displayName="tblFebruary" ref="A4:AG10" totalsRowCount="1">
  <tableColumns count="33">
    <tableColumn id="1" name="Employee Name" totalsRowFunction="custom" dataDxfId="201" totalsRowDxfId="202">
      <totalsRowFormula>MonthName&amp;" Total"</totalsRowFormula>
    </tableColumn>
    <tableColumn id="2" name="1" totalsRowFunction="count" dataDxfId="199" totalsRowDxfId="200"/>
    <tableColumn id="3" name="2" totalsRowFunction="count" dataDxfId="197" totalsRowDxfId="198"/>
    <tableColumn id="4" name="3" totalsRowFunction="count" dataDxfId="195" totalsRowDxfId="196"/>
    <tableColumn id="5" name="4" totalsRowFunction="count" dataDxfId="193" totalsRowDxfId="194"/>
    <tableColumn id="6" name="5" totalsRowFunction="count" dataDxfId="191" totalsRowDxfId="192"/>
    <tableColumn id="7" name="6" totalsRowFunction="count" dataDxfId="189" totalsRowDxfId="190"/>
    <tableColumn id="8" name="7" totalsRowFunction="count" dataDxfId="187" totalsRowDxfId="188"/>
    <tableColumn id="9" name="8" totalsRowFunction="count" dataDxfId="185" totalsRowDxfId="186"/>
    <tableColumn id="10" name="9" totalsRowFunction="count" dataDxfId="183" totalsRowDxfId="184"/>
    <tableColumn id="11" name="10" totalsRowFunction="count" dataDxfId="181" totalsRowDxfId="182"/>
    <tableColumn id="12" name="11" totalsRowFunction="count" dataDxfId="179" totalsRowDxfId="180"/>
    <tableColumn id="13" name="12" totalsRowFunction="count" dataDxfId="177" totalsRowDxfId="178"/>
    <tableColumn id="14" name="13" totalsRowFunction="count" dataDxfId="175" totalsRowDxfId="176"/>
    <tableColumn id="15" name="14" totalsRowFunction="count" dataDxfId="173" totalsRowDxfId="174"/>
    <tableColumn id="16" name="15" totalsRowFunction="count" dataDxfId="171" totalsRowDxfId="172"/>
    <tableColumn id="17" name="16" totalsRowFunction="count" dataDxfId="169" totalsRowDxfId="170"/>
    <tableColumn id="18" name="17" totalsRowFunction="count" dataDxfId="167" totalsRowDxfId="168"/>
    <tableColumn id="19" name="18" totalsRowFunction="count" dataDxfId="165" totalsRowDxfId="166"/>
    <tableColumn id="20" name="19" totalsRowFunction="count" dataDxfId="163" totalsRowDxfId="164"/>
    <tableColumn id="21" name="20" totalsRowFunction="count" dataDxfId="161" totalsRowDxfId="162"/>
    <tableColumn id="22" name="21" totalsRowFunction="count" dataDxfId="159" totalsRowDxfId="160"/>
    <tableColumn id="23" name="22" totalsRowFunction="count" dataDxfId="157" totalsRowDxfId="158"/>
    <tableColumn id="24" name="23" totalsRowFunction="count" dataDxfId="155" totalsRowDxfId="156"/>
    <tableColumn id="25" name="24" totalsRowFunction="count" dataDxfId="153" totalsRowDxfId="154"/>
    <tableColumn id="26" name="25" totalsRowFunction="count" dataDxfId="151" totalsRowDxfId="152"/>
    <tableColumn id="27" name="26" totalsRowFunction="count" dataDxfId="149" totalsRowDxfId="150"/>
    <tableColumn id="28" name="27" totalsRowFunction="count" dataDxfId="147" totalsRowDxfId="148"/>
    <tableColumn id="29" name="28" totalsRowFunction="count" dataDxfId="145" totalsRowDxfId="146"/>
    <tableColumn id="30" name="29" totalsRowFunction="count" dataDxfId="143" totalsRowDxfId="144"/>
    <tableColumn id="31" name=" " dataDxfId="141" totalsRowDxfId="142"/>
    <tableColumn id="32" name="  " dataDxfId="139" totalsRowDxfId="140"/>
    <tableColumn id="33" name="Total Days" totalsRowFunction="sum" totalsRowDxfId="138">
      <calculatedColumnFormula>COUNTA(tblFebruary[[#This Row],[1]:[29]])</calculatedColumnFormula>
    </tableColumn>
  </tableColumns>
  <tableStyleInfo name="Employee Absence Table 2" showFirstColumn="1" showLastColumn="1" showRowStripes="1" showColumnStripes="0"/>
  <extLst>
    <ext xmlns:x14="http://schemas.microsoft.com/office/spreadsheetml/2009/9/main" uri="{504A1905-F514-4f6f-8877-14C23A59335A}">
      <x14:table altText="February Employee Absence Schedule" altTextSummary="Provides a list of names and calendar dates to record employee absences and specific absence type, such as V=Vacation, S=Sick, P=Personal and two placeholders for custom entries."/>
    </ext>
  </extLst>
</table>
</file>

<file path=xl/tables/table14.xml><?xml version="1.0" encoding="utf-8"?>
<table xmlns="http://schemas.openxmlformats.org/spreadsheetml/2006/main" id="34" name="Table1" displayName="Table1" ref="A11:K22" totalsRowCount="1" headerRowDxfId="44" dataDxfId="43">
  <autoFilter ref="A11:K21"/>
  <tableColumns count="11">
    <tableColumn id="1" name="Date" dataDxfId="41" totalsRowDxfId="42"/>
    <tableColumn id="2" name="Account" dataDxfId="39" totalsRowDxfId="40"/>
    <tableColumn id="3" name="Description" dataDxfId="37" totalsRowDxfId="38"/>
    <tableColumn id="4" name="Hotel" totalsRowFunction="sum" dataDxfId="35" totalsRowDxfId="36"/>
    <tableColumn id="5" name="Transport" totalsRowFunction="sum" dataDxfId="33" totalsRowDxfId="34"/>
    <tableColumn id="6" name="Fuel" totalsRowFunction="sum" dataDxfId="31" totalsRowDxfId="32"/>
    <tableColumn id="7" name="Meals" totalsRowFunction="sum" dataDxfId="29" totalsRowDxfId="30"/>
    <tableColumn id="8" name="Phone" totalsRowFunction="sum" dataDxfId="27" totalsRowDxfId="28"/>
    <tableColumn id="9" name="Entertain." totalsRowFunction="sum" dataDxfId="25" totalsRowDxfId="26"/>
    <tableColumn id="10" name="Misc." totalsRowFunction="sum" dataDxfId="23" totalsRowDxfId="24"/>
    <tableColumn id="11" name="TOTAL" totalsRowDxfId="22">
      <calculatedColumnFormula>SUM(D12:J12)</calculatedColumnFormula>
    </tableColumn>
  </tableColumns>
  <tableStyleInfo name="TableStyleLight1" showFirstColumn="0" showLastColumn="0" showRowStripes="1" showColumnStripes="0"/>
</table>
</file>

<file path=xl/tables/table15.xml><?xml version="1.0" encoding="utf-8"?>
<table xmlns="http://schemas.openxmlformats.org/spreadsheetml/2006/main" id="33" name="tblData" displayName="tblData" ref="B41:E52" totalsRowCount="1">
  <autoFilter ref="B41:E51"/>
  <tableColumns count="4">
    <tableColumn id="1" name="Cost Center" totalsRowLabel="Total"/>
    <tableColumn id="2" name="Annual Cost " totalsRowFunction="sum"/>
    <tableColumn id="3" name="Percent of Total" totalsRowFunction="sum" dataDxfId="47">
      <calculatedColumnFormula>tblData[[#This Row],[Annual Cost ]]/SUM(tblData[[Annual Cost ]])</calculatedColumnFormula>
    </tableColumn>
    <tableColumn id="4" name="Cumulative Percent" dataDxfId="45" totalsRowDxfId="46">
      <calculatedColumnFormula>SUM(INDEX(tblData[Percent of Total],1):tblData[[#This Row],[Percent of Total]])</calculatedColumnFormula>
    </tableColumn>
  </tableColumns>
  <tableStyleInfo name="TableStyleLight9" showFirstColumn="0" showLastColumn="0" showRowStripes="1" showColumnStripes="0"/>
  <extLst>
    <ext xmlns:x14="http://schemas.microsoft.com/office/spreadsheetml/2009/9/main" uri="{504A1905-F514-4f6f-8877-14C23A59335A}">
      <x14:table altText="Cost Center" altTextSummary="Enter cost descriptions and their annual costs."/>
    </ext>
  </extLst>
</table>
</file>

<file path=xl/tables/table16.xml><?xml version="1.0" encoding="utf-8"?>
<table xmlns="http://schemas.openxmlformats.org/spreadsheetml/2006/main" id="30" name="tblIncome" displayName="tblIncome" ref="B7:P11" totalsRowCount="1" headerRowCellStyle="Heading 1">
  <tableColumns count="15">
    <tableColumn id="1" name="INCOME TYPE" totalsRowLabel="TOTAL INCOME" totalsRowDxfId="119"/>
    <tableColumn id="2" name="JAN" totalsRowFunction="sum" dataDxfId="118"/>
    <tableColumn id="3" name="FEB" totalsRowFunction="sum" dataDxfId="117"/>
    <tableColumn id="4" name="MAR" totalsRowFunction="sum" dataDxfId="116"/>
    <tableColumn id="5" name="APR" totalsRowFunction="sum" dataDxfId="115"/>
    <tableColumn id="6" name="MAY" totalsRowFunction="sum" dataDxfId="114"/>
    <tableColumn id="7" name="JUN" totalsRowFunction="sum" dataDxfId="113"/>
    <tableColumn id="8" name="JUL" totalsRowFunction="sum" dataDxfId="112"/>
    <tableColumn id="9" name="AUG" totalsRowFunction="sum" dataDxfId="111"/>
    <tableColumn id="10" name="SEP" totalsRowFunction="sum" dataDxfId="110"/>
    <tableColumn id="11" name="OCT" totalsRowFunction="sum" dataDxfId="109"/>
    <tableColumn id="12" name="NOV" totalsRowFunction="sum" dataDxfId="108"/>
    <tableColumn id="13" name="DEC" totalsRowFunction="sum" dataDxfId="107"/>
    <tableColumn id="14" name="YTD TOTAL" totalsRowFunction="sum" dataDxfId="106">
      <calculatedColumnFormula>SUM(tblIncome[[#This Row],[JAN]:[DEC]])</calculatedColumnFormula>
    </tableColumn>
    <tableColumn id="15" name="TREND"/>
  </tableColumns>
  <tableStyleInfo name="Family Budget Cash Available 2" showFirstColumn="1" showLastColumn="0" showRowStripes="1" showColumnStripes="0"/>
  <extLst>
    <ext xmlns:x14="http://schemas.microsoft.com/office/spreadsheetml/2009/9/main" uri="{504A1905-F514-4f6f-8877-14C23A59335A}">
      <x14:table altText="Monthly Income" altTextSummary="Summarizes income by type for each calendar month."/>
    </ext>
  </extLst>
</table>
</file>

<file path=xl/tables/table17.xml><?xml version="1.0" encoding="utf-8"?>
<table xmlns="http://schemas.openxmlformats.org/spreadsheetml/2006/main" id="31" name="tblExpenses" displayName="tblExpenses" ref="B13:P28" totalsRowCount="1" headerRowCellStyle="Heading 1">
  <tableColumns count="15">
    <tableColumn id="1" name="EXPENSES" totalsRowLabel="TOTAL EXPENSES" dataDxfId="104" totalsRowDxfId="105"/>
    <tableColumn id="2" name="JAN" totalsRowFunction="sum" dataDxfId="102" totalsRowDxfId="103"/>
    <tableColumn id="3" name="FEB" totalsRowFunction="sum" dataDxfId="100" totalsRowDxfId="101"/>
    <tableColumn id="4" name="MAR" totalsRowFunction="sum" dataDxfId="98" totalsRowDxfId="99"/>
    <tableColumn id="5" name="APR" totalsRowFunction="sum" dataDxfId="96" totalsRowDxfId="97"/>
    <tableColumn id="6" name="MAY" totalsRowFunction="sum" dataDxfId="94" totalsRowDxfId="95"/>
    <tableColumn id="7" name="JUN" totalsRowFunction="sum" dataDxfId="92" totalsRowDxfId="93"/>
    <tableColumn id="8" name="JUL" totalsRowFunction="sum" dataDxfId="90" totalsRowDxfId="91"/>
    <tableColumn id="9" name="AUG" totalsRowFunction="sum" dataDxfId="88" totalsRowDxfId="89"/>
    <tableColumn id="10" name="SEP" totalsRowFunction="sum" dataDxfId="86" totalsRowDxfId="87"/>
    <tableColumn id="11" name="OCT" totalsRowFunction="sum" dataDxfId="84" totalsRowDxfId="85"/>
    <tableColumn id="12" name="NOV" totalsRowFunction="sum" dataDxfId="82" totalsRowDxfId="83"/>
    <tableColumn id="13" name="DEC" totalsRowFunction="sum" dataDxfId="80" totalsRowDxfId="81"/>
    <tableColumn id="14" name="YTD TOTAL" totalsRowFunction="sum" dataDxfId="78" totalsRowDxfId="79">
      <calculatedColumnFormula>SUM(tblExpenses[[#This Row],[JAN]:[DEC]])</calculatedColumnFormula>
    </tableColumn>
    <tableColumn id="15" name="TREND" totalsRowDxfId="77"/>
  </tableColumns>
  <tableStyleInfo name="Family Budget Cash Available 3" showFirstColumn="1" showLastColumn="0" showRowStripes="1" showColumnStripes="0"/>
  <extLst>
    <ext xmlns:x14="http://schemas.microsoft.com/office/spreadsheetml/2009/9/main" uri="{504A1905-F514-4f6f-8877-14C23A59335A}">
      <x14:table altText="Monthly Expenses" altTextSummary="Expense summary for each calendar month."/>
    </ext>
  </extLst>
</table>
</file>

<file path=xl/tables/table18.xml><?xml version="1.0" encoding="utf-8"?>
<table xmlns="http://schemas.openxmlformats.org/spreadsheetml/2006/main" id="32" name="tblCashAvailable" displayName="tblCashAvailable" ref="B4:P5" headerRowCellStyle="Heading 1">
  <tableColumns count="15">
    <tableColumn id="1" name="CASH AVAILABLE" totalsRowLabel="Total" dataDxfId="75" totalsRowDxfId="76"/>
    <tableColumn id="2" name="JAN" dataDxfId="73" totalsRowDxfId="74">
      <calculatedColumnFormula>tblIncome[[#Totals],[JAN]]-tblExpenses[[#Totals],[JAN]]</calculatedColumnFormula>
    </tableColumn>
    <tableColumn id="3" name="FEB" dataDxfId="71" totalsRowDxfId="72">
      <calculatedColumnFormula>tblIncome[[#Totals],[FEB]]-tblExpenses[[#Totals],[FEB]]</calculatedColumnFormula>
    </tableColumn>
    <tableColumn id="4" name="MAR" dataDxfId="69" totalsRowDxfId="70">
      <calculatedColumnFormula>tblIncome[[#Totals],[MAR]]-tblExpenses[[#Totals],[MAR]]</calculatedColumnFormula>
    </tableColumn>
    <tableColumn id="5" name="APR" dataDxfId="67" totalsRowDxfId="68">
      <calculatedColumnFormula>tblIncome[[#Totals],[APR]]-tblExpenses[[#Totals],[APR]]</calculatedColumnFormula>
    </tableColumn>
    <tableColumn id="6" name="MAY" dataDxfId="65" totalsRowDxfId="66">
      <calculatedColumnFormula>tblIncome[[#Totals],[MAY]]-tblExpenses[[#Totals],[MAY]]</calculatedColumnFormula>
    </tableColumn>
    <tableColumn id="7" name="JUN" dataDxfId="63" totalsRowDxfId="64">
      <calculatedColumnFormula>tblIncome[[#Totals],[JUN]]-tblExpenses[[#Totals],[JUN]]</calculatedColumnFormula>
    </tableColumn>
    <tableColumn id="8" name="JUL" dataDxfId="61" totalsRowDxfId="62">
      <calculatedColumnFormula>tblIncome[[#Totals],[JUL]]-tblExpenses[[#Totals],[JUL]]</calculatedColumnFormula>
    </tableColumn>
    <tableColumn id="9" name="AUG" dataDxfId="59" totalsRowDxfId="60">
      <calculatedColumnFormula>tblIncome[[#Totals],[AUG]]-tblExpenses[[#Totals],[AUG]]</calculatedColumnFormula>
    </tableColumn>
    <tableColumn id="10" name="SEP" dataDxfId="57" totalsRowDxfId="58">
      <calculatedColumnFormula>tblIncome[[#Totals],[SEP]]-tblExpenses[[#Totals],[SEP]]</calculatedColumnFormula>
    </tableColumn>
    <tableColumn id="11" name="OCT" dataDxfId="55" totalsRowDxfId="56">
      <calculatedColumnFormula>tblIncome[[#Totals],[OCT]]-tblExpenses[[#Totals],[OCT]]</calculatedColumnFormula>
    </tableColumn>
    <tableColumn id="12" name="NOV" dataDxfId="53" totalsRowDxfId="54">
      <calculatedColumnFormula>tblIncome[[#Totals],[NOV]]-tblExpenses[[#Totals],[NOV]]</calculatedColumnFormula>
    </tableColumn>
    <tableColumn id="13" name="DEC" dataDxfId="51" totalsRowDxfId="52">
      <calculatedColumnFormula>tblIncome[[#Totals],[DEC]]-tblExpenses[[#Totals],[DEC]]</calculatedColumnFormula>
    </tableColumn>
    <tableColumn id="14" name="YTD TOTAL" dataDxfId="49" totalsRowDxfId="50">
      <calculatedColumnFormula>tblIncome[[#Totals],[YTD TOTAL]]-tblExpenses[[#Totals],[YTD TOTAL]]</calculatedColumnFormula>
    </tableColumn>
    <tableColumn id="15" name="TREND" totalsRowFunction="count" totalsRowDxfId="48"/>
  </tableColumns>
  <tableStyleInfo name="Family Budget Cash Available" showFirstColumn="1" showLastColumn="0" showRowStripes="1" showColumnStripes="0"/>
  <extLst>
    <ext xmlns:x14="http://schemas.microsoft.com/office/spreadsheetml/2009/9/main" uri="{504A1905-F514-4f6f-8877-14C23A59335A}">
      <x14:table altText="Monthly Cash Available" altTextSummary="Summarizes cash available (income minus expenses) for each calendar month."/>
    </ext>
  </extLst>
</table>
</file>

<file path=xl/tables/table19.xml><?xml version="1.0" encoding="utf-8"?>
<table xmlns="http://schemas.openxmlformats.org/spreadsheetml/2006/main" id="1" name="Housing" displayName="Housing" ref="C24:F36" totalsRowCount="1" headerRowDxfId="422">
  <autoFilter ref="C24:F35"/>
  <tableColumns count="4">
    <tableColumn id="1" name="Housing Expense" totalsRowLabel="SUBTOTAL" totalsRowDxfId="421"/>
    <tableColumn id="2" name="Projected" totalsRowFunction="sum" totalsRowDxfId="420"/>
    <tableColumn id="3" name="Actual" totalsRowFunction="sum" totalsRowDxfId="419"/>
    <tableColumn id="4" name="Variance" totalsRowFunction="sum" totalsRowDxfId="418">
      <calculatedColumnFormula>Housing[[#This Row],[Projected]]-Housing[[#This Row],[Actual]]</calculatedColumnFormula>
    </tableColumn>
  </tableColumns>
  <tableStyleInfo name="Monthly Expenses" showFirstColumn="0" showLastColumn="1" showRowStripes="1" showColumnStripes="0"/>
  <extLst>
    <ext xmlns:x14="http://schemas.microsoft.com/office/spreadsheetml/2009/9/main" uri="{504A1905-F514-4f6f-8877-14C23A59335A}">
      <x14:table altText="Housing expenses" altTextSummary="List of housing expenses such as mortgage or rent, phone, electricity, etc. along with projected, actual, and calculated variance."/>
    </ext>
  </extLst>
</table>
</file>

<file path=xl/tables/table2.xml><?xml version="1.0" encoding="utf-8"?>
<table xmlns="http://schemas.openxmlformats.org/spreadsheetml/2006/main" id="24" name="tblAdmissions" displayName="tblAdmissions" ref="B7:G11" totalsRowCount="1" headerRowDxfId="332">
  <autoFilter ref="B7:G10"/>
  <tableColumns count="6">
    <tableColumn id="1" name="Estimated" totalsRowLabel="Total" totalsRowDxfId="331"/>
    <tableColumn id="2" name="Actual" totalsRowDxfId="330"/>
    <tableColumn id="3" name=" " dataDxfId="328" totalsRowDxfId="329"/>
    <tableColumn id="4" name="  " dataDxfId="326" totalsRowDxfId="327"/>
    <tableColumn id="5" name="Estimated " totalsRowFunction="sum" dataDxfId="324" totalsRowDxfId="325">
      <calculatedColumnFormula>tblAdmissions[[#This Row],[  ]]*tblAdmissions[[#This Row],[Estimated]]</calculatedColumnFormula>
    </tableColumn>
    <tableColumn id="6" name="Actual " totalsRowFunction="sum" dataDxfId="322" totalsRowDxfId="323">
      <calculatedColumnFormula>tblAdmissions[[#This Row],[  ]]*tblAdmissions[[#This Row],[Actual]]</calculatedColumnFormula>
    </tableColumn>
  </tableColumns>
  <tableStyleInfo name="TableStyleLight10" showFirstColumn="0" showLastColumn="0" showRowStripes="1" showColumnStripes="0"/>
  <extLst>
    <ext xmlns:x14="http://schemas.microsoft.com/office/spreadsheetml/2009/9/main" uri="{504A1905-F514-4f6f-8877-14C23A59335A}">
      <x14:table altText="Admissions table" altTextSummary="Enter admission information, including estimated/actual number of admissions and rates."/>
    </ext>
  </extLst>
</table>
</file>

<file path=xl/tables/table20.xml><?xml version="1.0" encoding="utf-8"?>
<table xmlns="http://schemas.openxmlformats.org/spreadsheetml/2006/main" id="2" name="Transportation" displayName="Transportation" ref="C38:F47" totalsRowCount="1" headerRowDxfId="417">
  <autoFilter ref="C38:F46"/>
  <tableColumns count="4">
    <tableColumn id="1" name="Transportation" totalsRowLabel="SUBTOTAL" totalsRowDxfId="416"/>
    <tableColumn id="2" name="Projected" totalsRowFunction="sum" totalsRowDxfId="415"/>
    <tableColumn id="3" name="Actual" totalsRowFunction="sum" totalsRowDxfId="414"/>
    <tableColumn id="4" name="Variance" totalsRowFunction="sum" totalsRowDxfId="413">
      <calculatedColumnFormula>Transportation[[#This Row],[Projected]]-Transportation[[#This Row],[Actual]]</calculatedColumnFormula>
    </tableColumn>
  </tableColumns>
  <tableStyleInfo name="Monthly Expenses" showFirstColumn="0" showLastColumn="1" showRowStripes="0" showColumnStripes="0"/>
  <extLst>
    <ext xmlns:x14="http://schemas.microsoft.com/office/spreadsheetml/2009/9/main" uri="{504A1905-F514-4f6f-8877-14C23A59335A}">
      <x14:table altText="Transportation Expenses" altTextSummary="List of transportation expenses such as vehicle payments, insurance, etc. along with projected, actual, and calculated variance."/>
    </ext>
  </extLst>
</table>
</file>

<file path=xl/tables/table21.xml><?xml version="1.0" encoding="utf-8"?>
<table xmlns="http://schemas.openxmlformats.org/spreadsheetml/2006/main" id="3" name="Insurance" displayName="Insurance" ref="C49:F54" totalsRowCount="1" headerRowDxfId="412">
  <autoFilter ref="C49:F53"/>
  <tableColumns count="4">
    <tableColumn id="1" name="Insurance" totalsRowLabel="SUBTOTAL" totalsRowDxfId="411"/>
    <tableColumn id="2" name="Projected" totalsRowFunction="sum" totalsRowDxfId="410"/>
    <tableColumn id="3" name="Actual" totalsRowFunction="sum" totalsRowDxfId="409"/>
    <tableColumn id="4" name="Variance" totalsRowFunction="sum" totalsRowDxfId="408">
      <calculatedColumnFormula>Insurance[[#This Row],[Projected]]-Insurance[[#This Row],[Actual]]</calculatedColumnFormula>
    </tableColumn>
  </tableColumns>
  <tableStyleInfo name="Monthly Expenses" showFirstColumn="0" showLastColumn="1" showRowStripes="1" showColumnStripes="0"/>
  <extLst>
    <ext xmlns:x14="http://schemas.microsoft.com/office/spreadsheetml/2009/9/main" uri="{504A1905-F514-4f6f-8877-14C23A59335A}">
      <x14:table altText="Insurance expenses" altTextSummary="List of insurance expenses such as home, health, life, etc. along with projected, actual, and calculated variance."/>
    </ext>
  </extLst>
</table>
</file>

<file path=xl/tables/table22.xml><?xml version="1.0" encoding="utf-8"?>
<table xmlns="http://schemas.openxmlformats.org/spreadsheetml/2006/main" id="4" name="Food" displayName="Food" ref="C56:F60" totalsRowCount="1" headerRowDxfId="407">
  <autoFilter ref="C56:F59"/>
  <tableColumns count="4">
    <tableColumn id="1" name="Food" totalsRowLabel="SUBTOTAL" totalsRowDxfId="406"/>
    <tableColumn id="2" name="Projected" totalsRowFunction="sum" totalsRowDxfId="405"/>
    <tableColumn id="3" name="Actual" totalsRowFunction="sum" totalsRowDxfId="404"/>
    <tableColumn id="4" name="Variance" totalsRowFunction="sum" totalsRowDxfId="403">
      <calculatedColumnFormula>Food[[#This Row],[Projected]]-Food[[#This Row],[Actual]]</calculatedColumnFormula>
    </tableColumn>
  </tableColumns>
  <tableStyleInfo name="Monthly Expenses" showFirstColumn="0" showLastColumn="1" showRowStripes="1" showColumnStripes="0"/>
  <extLst>
    <ext xmlns:x14="http://schemas.microsoft.com/office/spreadsheetml/2009/9/main" uri="{504A1905-F514-4f6f-8877-14C23A59335A}">
      <x14:table altText="Food expenses" altTextSummary="List of food expenses such as groceries, dining out, etc. along with projected, actual, and calculated variance."/>
    </ext>
  </extLst>
</table>
</file>

<file path=xl/tables/table23.xml><?xml version="1.0" encoding="utf-8"?>
<table xmlns="http://schemas.openxmlformats.org/spreadsheetml/2006/main" id="5" name="Children" displayName="Children" ref="C62:F72" totalsRowCount="1" headerRowDxfId="402">
  <autoFilter ref="C62:F71"/>
  <tableColumns count="4">
    <tableColumn id="1" name="Children" totalsRowLabel="SUBTOTAL" totalsRowDxfId="401"/>
    <tableColumn id="2" name="Projected" totalsRowFunction="sum" totalsRowDxfId="400"/>
    <tableColumn id="3" name="Actual" totalsRowFunction="sum" totalsRowDxfId="399"/>
    <tableColumn id="4" name="Variance" totalsRowFunction="sum" totalsRowDxfId="398">
      <calculatedColumnFormula>Children[[#This Row],[Projected]]-Children[[#This Row],[Actual]]</calculatedColumnFormula>
    </tableColumn>
  </tableColumns>
  <tableStyleInfo name="Monthly Expenses" showFirstColumn="0" showLastColumn="1" showRowStripes="1" showColumnStripes="0"/>
  <extLst>
    <ext xmlns:x14="http://schemas.microsoft.com/office/spreadsheetml/2009/9/main" uri="{504A1905-F514-4f6f-8877-14C23A59335A}">
      <x14:table altText="Children expenses" altTextSummary="List of children expenses such as medical, clothing, school supplies, etc.  along with projected, actual, and calculated variance."/>
    </ext>
  </extLst>
</table>
</file>

<file path=xl/tables/table24.xml><?xml version="1.0" encoding="utf-8"?>
<table xmlns="http://schemas.openxmlformats.org/spreadsheetml/2006/main" id="6" name="Pets" displayName="Pets" ref="C74:F80" totalsRowCount="1" headerRowDxfId="397">
  <autoFilter ref="C74:F79"/>
  <tableColumns count="4">
    <tableColumn id="1" name="Pets" totalsRowLabel="SUBTOTAL" totalsRowDxfId="396"/>
    <tableColumn id="2" name="Projected" totalsRowFunction="sum" totalsRowDxfId="395"/>
    <tableColumn id="3" name="Actual" totalsRowFunction="sum" totalsRowDxfId="394"/>
    <tableColumn id="4" name="Variance" totalsRowFunction="sum" totalsRowDxfId="393">
      <calculatedColumnFormula>Pets[[#This Row],[Projected]]-Pets[[#This Row],[Actual]]</calculatedColumnFormula>
    </tableColumn>
  </tableColumns>
  <tableStyleInfo name="Monthly Expenses" showFirstColumn="0" showLastColumn="1" showRowStripes="1" showColumnStripes="0"/>
  <extLst>
    <ext xmlns:x14="http://schemas.microsoft.com/office/spreadsheetml/2009/9/main" uri="{504A1905-F514-4f6f-8877-14C23A59335A}">
      <x14:table altText="Pet expenses" altTextSummary="List of pet expenses such as food, medical, grooming, etc. along with projected, actual, and calculated variance."/>
    </ext>
  </extLst>
</table>
</file>

<file path=xl/tables/table25.xml><?xml version="1.0" encoding="utf-8"?>
<table xmlns="http://schemas.openxmlformats.org/spreadsheetml/2006/main" id="7" name="PersonalCare" displayName="PersonalCare" ref="C82:F90" totalsRowCount="1" headerRowDxfId="392">
  <autoFilter ref="C82:F89"/>
  <tableColumns count="4">
    <tableColumn id="1" name="Personal Care" totalsRowLabel="SUBTOTAL" totalsRowDxfId="391"/>
    <tableColumn id="2" name="Projected" totalsRowFunction="sum" totalsRowDxfId="390"/>
    <tableColumn id="3" name="Actual" totalsRowFunction="sum" totalsRowDxfId="389"/>
    <tableColumn id="4" name="Variance" totalsRowFunction="sum" totalsRowDxfId="388">
      <calculatedColumnFormula>PersonalCare[[#This Row],[Projected]]-PersonalCare[[#This Row],[Actual]]</calculatedColumnFormula>
    </tableColumn>
  </tableColumns>
  <tableStyleInfo name="Monthly Expenses" showFirstColumn="0" showLastColumn="1" showRowStripes="1" showColumnStripes="0"/>
  <extLst>
    <ext xmlns:x14="http://schemas.microsoft.com/office/spreadsheetml/2009/9/main" uri="{504A1905-F514-4f6f-8877-14C23A59335A}">
      <x14:table altText="Personal Care expenese" altTextSummary="List of personal care expenses such as medical, hair/nails, clothing, etc. along with projected, actual, and calculated variance."/>
    </ext>
  </extLst>
</table>
</file>

<file path=xl/tables/table26.xml><?xml version="1.0" encoding="utf-8"?>
<table xmlns="http://schemas.openxmlformats.org/spreadsheetml/2006/main" id="8" name="Entertainment" displayName="Entertainment" ref="C92:F100" totalsRowCount="1" headerRowDxfId="387">
  <autoFilter ref="C92:F99"/>
  <tableColumns count="4">
    <tableColumn id="1" name="Entertainment" totalsRowLabel="SUBTOTAL" totalsRowDxfId="386"/>
    <tableColumn id="2" name="Projected" totalsRowFunction="sum" totalsRowDxfId="385"/>
    <tableColumn id="3" name="Actual" totalsRowFunction="sum" totalsRowDxfId="384"/>
    <tableColumn id="4" name="Variance" totalsRowFunction="sum" totalsRowDxfId="383">
      <calculatedColumnFormula>Entertainment[[#This Row],[Projected]]-Entertainment[[#This Row],[Actual]]</calculatedColumnFormula>
    </tableColumn>
  </tableColumns>
  <tableStyleInfo name="Monthly Expenses" showFirstColumn="0" showLastColumn="1" showRowStripes="1" showColumnStripes="0"/>
  <extLst>
    <ext xmlns:x14="http://schemas.microsoft.com/office/spreadsheetml/2009/9/main" uri="{504A1905-F514-4f6f-8877-14C23A59335A}">
      <x14:table altText="Entertainment expeneses" altTextSummary="List of entertainment expenses such as CDs, movies, concerts, etc. along with projected, actual, and calculated variance."/>
    </ext>
  </extLst>
</table>
</file>

<file path=xl/tables/table27.xml><?xml version="1.0" encoding="utf-8"?>
<table xmlns="http://schemas.openxmlformats.org/spreadsheetml/2006/main" id="9" name="Loans" displayName="Loans" ref="C102:F109" totalsRowCount="1" headerRowDxfId="382">
  <autoFilter ref="C102:F108"/>
  <tableColumns count="4">
    <tableColumn id="1" name="Loans" totalsRowLabel="SUBTOTAL" totalsRowDxfId="381"/>
    <tableColumn id="2" name="Projected" totalsRowFunction="sum" totalsRowDxfId="380"/>
    <tableColumn id="3" name="Actual" totalsRowFunction="sum" totalsRowDxfId="379"/>
    <tableColumn id="4" name="Variance" totalsRowFunction="sum" totalsRowDxfId="378">
      <calculatedColumnFormula>Loans[[#This Row],[Projected]]-Loans[[#This Row],[Actual]]</calculatedColumnFormula>
    </tableColumn>
  </tableColumns>
  <tableStyleInfo name="Monthly Expenses" showFirstColumn="0" showLastColumn="1" showRowStripes="1" showColumnStripes="0"/>
  <extLst>
    <ext xmlns:x14="http://schemas.microsoft.com/office/spreadsheetml/2009/9/main" uri="{504A1905-F514-4f6f-8877-14C23A59335A}">
      <x14:table altText="Loan expenses" altTextSummary="List of loan expenses such as persona, student credit card, etc. along with projected, actual, and calculated variance."/>
    </ext>
  </extLst>
</table>
</file>

<file path=xl/tables/table28.xml><?xml version="1.0" encoding="utf-8"?>
<table xmlns="http://schemas.openxmlformats.org/spreadsheetml/2006/main" id="10" name="Taxes" displayName="Taxes" ref="C111:F116" totalsRowCount="1" headerRowDxfId="377">
  <autoFilter ref="C111:F115"/>
  <tableColumns count="4">
    <tableColumn id="1" name="Taxes" totalsRowLabel="SUBTOTAL" totalsRowDxfId="376"/>
    <tableColumn id="2" name="Projected" totalsRowFunction="sum" totalsRowDxfId="375"/>
    <tableColumn id="3" name="Actual" totalsRowFunction="sum" totalsRowDxfId="374"/>
    <tableColumn id="4" name="Variance" totalsRowFunction="sum" totalsRowDxfId="373">
      <calculatedColumnFormula>Taxes[[#This Row],[Projected]]-Taxes[[#This Row],[Actual]]</calculatedColumnFormula>
    </tableColumn>
  </tableColumns>
  <tableStyleInfo name="Monthly Expenses" showFirstColumn="0" showLastColumn="1" showRowStripes="1" showColumnStripes="0"/>
  <extLst>
    <ext xmlns:x14="http://schemas.microsoft.com/office/spreadsheetml/2009/9/main" uri="{504A1905-F514-4f6f-8877-14C23A59335A}">
      <x14:table altText="Tax expenses" altTextSummary="List of tax expenses such as federal, state, local, etc. along with projected, actual, and calculated variance."/>
    </ext>
  </extLst>
</table>
</file>

<file path=xl/tables/table29.xml><?xml version="1.0" encoding="utf-8"?>
<table xmlns="http://schemas.openxmlformats.org/spreadsheetml/2006/main" id="11" name="Savings" displayName="Savings" ref="C118:F123" totalsRowCount="1" headerRowDxfId="372">
  <autoFilter ref="C118:F122"/>
  <tableColumns count="4">
    <tableColumn id="1" name="Savings or Investments" totalsRowLabel="SUBTOTAL" totalsRowDxfId="371"/>
    <tableColumn id="2" name="Projected" totalsRowFunction="sum" totalsRowDxfId="370"/>
    <tableColumn id="3" name="Actual" totalsRowFunction="sum" totalsRowDxfId="369"/>
    <tableColumn id="4" name="Variance" totalsRowFunction="sum" totalsRowDxfId="368">
      <calculatedColumnFormula>Savings[[#This Row],[Projected]]-Savings[[#This Row],[Actual]]</calculatedColumnFormula>
    </tableColumn>
  </tableColumns>
  <tableStyleInfo name="Monthly Expenses" showFirstColumn="0" showLastColumn="1" showRowStripes="1" showColumnStripes="0"/>
  <extLst>
    <ext xmlns:x14="http://schemas.microsoft.com/office/spreadsheetml/2009/9/main" uri="{504A1905-F514-4f6f-8877-14C23A59335A}">
      <x14:table altText="Savings or Investments" altTextSummary="List of savings or investments such as retirement account, investment account college, etc. along with projected, actual, and calculated variance."/>
    </ext>
  </extLst>
</table>
</file>

<file path=xl/tables/table3.xml><?xml version="1.0" encoding="utf-8"?>
<table xmlns="http://schemas.openxmlformats.org/spreadsheetml/2006/main" id="25" name="tblItems" displayName="tblItems" ref="B28:G33" totalsRowCount="1" headerRowDxfId="321">
  <autoFilter ref="B28:G32"/>
  <tableColumns count="6">
    <tableColumn id="1" name="Estimated" totalsRowLabel="Total" totalsRowDxfId="320"/>
    <tableColumn id="2" name="Actual" totalsRowDxfId="319"/>
    <tableColumn id="3" name=" " dataDxfId="317" totalsRowDxfId="318"/>
    <tableColumn id="4" name="  " totalsRowDxfId="316"/>
    <tableColumn id="5" name="Estimated " totalsRowFunction="sum" dataDxfId="315">
      <calculatedColumnFormula>tblItems[[#This Row],[  ]]*tblItems[[#This Row],[Estimated]]</calculatedColumnFormula>
    </tableColumn>
    <tableColumn id="6" name="Actual " totalsRowFunction="sum" dataDxfId="314">
      <calculatedColumnFormula>tblItems[[#This Row],[  ]]*tblItems[[#This Row],[Actual]]</calculatedColumnFormula>
    </tableColumn>
  </tableColumns>
  <tableStyleInfo name="TableStyleLight10" showFirstColumn="0" showLastColumn="0" showRowStripes="1" showColumnStripes="0"/>
  <extLst>
    <ext xmlns:x14="http://schemas.microsoft.com/office/spreadsheetml/2009/9/main" uri="{504A1905-F514-4f6f-8877-14C23A59335A}">
      <x14:table altText="Item sales table" altTextSummary="Enter item sales information, including estimated/actual number and rates."/>
    </ext>
  </extLst>
</table>
</file>

<file path=xl/tables/table30.xml><?xml version="1.0" encoding="utf-8"?>
<table xmlns="http://schemas.openxmlformats.org/spreadsheetml/2006/main" id="12" name="Gifts" displayName="Gifts" ref="C125:F129" totalsRowCount="1" headerRowDxfId="367">
  <autoFilter ref="C125:F128"/>
  <tableColumns count="4">
    <tableColumn id="1" name="Gifts and Donations" totalsRowLabel="SUBTOTAL" totalsRowDxfId="366"/>
    <tableColumn id="2" name="Projected" totalsRowFunction="sum" totalsRowDxfId="365"/>
    <tableColumn id="3" name="Actual" totalsRowFunction="sum" totalsRowDxfId="364"/>
    <tableColumn id="4" name="Variance" totalsRowFunction="sum" totalsRowDxfId="363">
      <calculatedColumnFormula>Gifts[[#This Row],[Projected]]-Gifts[[#This Row],[Actual]]</calculatedColumnFormula>
    </tableColumn>
  </tableColumns>
  <tableStyleInfo name="Monthly Expenses" showFirstColumn="0" showLastColumn="1" showRowStripes="1" showColumnStripes="0"/>
  <extLst>
    <ext xmlns:x14="http://schemas.microsoft.com/office/spreadsheetml/2009/9/main" uri="{504A1905-F514-4f6f-8877-14C23A59335A}">
      <x14:table altText="Gifts and Donations" altTextSummary="List of gifts and donations to charities along with projected, actual, and calculated variance. "/>
    </ext>
  </extLst>
</table>
</file>

<file path=xl/tables/table31.xml><?xml version="1.0" encoding="utf-8"?>
<table xmlns="http://schemas.openxmlformats.org/spreadsheetml/2006/main" id="13" name="Legal" displayName="Legal" ref="C131:F136" totalsRowCount="1" headerRowDxfId="362">
  <autoFilter ref="C131:F135"/>
  <tableColumns count="4">
    <tableColumn id="1" name="Legal" totalsRowLabel="SUBTOTAL" totalsRowDxfId="361"/>
    <tableColumn id="2" name="Projected" totalsRowFunction="sum" totalsRowDxfId="360"/>
    <tableColumn id="3" name="Actual" totalsRowFunction="sum" totalsRowDxfId="359"/>
    <tableColumn id="4" name="Variance" totalsRowFunction="sum" totalsRowDxfId="358">
      <calculatedColumnFormula>Legal[[#This Row],[Projected]]-Legal[[#This Row],[Actual]]</calculatedColumnFormula>
    </tableColumn>
  </tableColumns>
  <tableStyleInfo name="Monthly Expenses" showFirstColumn="0" showLastColumn="1" showRowStripes="1" showColumnStripes="0"/>
  <extLst>
    <ext xmlns:x14="http://schemas.microsoft.com/office/spreadsheetml/2009/9/main" uri="{504A1905-F514-4f6f-8877-14C23A59335A}">
      <x14:table altText="Legal expenses" altTextSummary="List of legal expenses such as attorney, alimony, etc. along with projected, actual, and calculated variance. "/>
    </ext>
  </extLst>
</table>
</file>

<file path=xl/tables/table32.xml><?xml version="1.0" encoding="utf-8"?>
<table xmlns="http://schemas.openxmlformats.org/spreadsheetml/2006/main" id="14" name="Income" displayName="Income" ref="B17:F22" totalsRowCount="1">
  <tableColumns count="5">
    <tableColumn id="5" name=" " totalsRowDxfId="357"/>
    <tableColumn id="1" name="Monthly Income" totalsRowLabel="TOTAL INCOME" totalsRowDxfId="356"/>
    <tableColumn id="2" name="Projected" totalsRowFunction="sum" totalsRowDxfId="355"/>
    <tableColumn id="3" name="Actual" totalsRowFunction="sum" totalsRowDxfId="354"/>
    <tableColumn id="4" name="Variance" totalsRowFunction="sum" totalsRowDxfId="353">
      <calculatedColumnFormula>Income[[#This Row],[Actual]]-Income[[#This Row],[Projected]]</calculatedColumnFormula>
    </tableColumn>
  </tableColumns>
  <tableStyleInfo name="Monthly Income" showFirstColumn="1" showLastColumn="1" showRowStripes="0" showColumnStripes="0"/>
  <extLst>
    <ext xmlns:x14="http://schemas.microsoft.com/office/spreadsheetml/2009/9/main" uri="{504A1905-F514-4f6f-8877-14C23A59335A}">
      <x14:table altText="Monthly Income" altTextSummary="List of monthly incomes such as income 1, income 2, extratIncome, and other, along with projected, actual, and calculated variance."/>
    </ext>
  </extLst>
</table>
</file>

<file path=xl/tables/table33.xml><?xml version="1.0" encoding="utf-8"?>
<table xmlns="http://schemas.openxmlformats.org/spreadsheetml/2006/main" id="15" name="CashFlow" displayName="CashFlow" ref="B12:F15" totalsRowDxfId="352">
  <tableColumns count="5">
    <tableColumn id="5" name="  " totalsRowDxfId="351"/>
    <tableColumn id="1" name="Cash Flow" totalsRowLabel="TOTAL CASH FLOW" totalsRowDxfId="350"/>
    <tableColumn id="2" name="Projected" totalsRowFunction="custom" totalsRowDxfId="349">
      <totalsRowFormula>D13-D14</totalsRowFormula>
    </tableColumn>
    <tableColumn id="3" name="Actual" totalsRowFunction="custom" totalsRowDxfId="348">
      <totalsRowFormula>E13-E14</totalsRowFormula>
    </tableColumn>
    <tableColumn id="4" name="Variance" totalsRowFunction="custom" totalsRowDxfId="347">
      <totalsRowFormula>CashFlow[[#Totals],[Actual]]-CashFlow[[#Totals],[Projected]]</totalsRowFormula>
    </tableColumn>
  </tableColumns>
  <tableStyleInfo name="Cash Flow" showFirstColumn="1" showLastColumn="1" showRowStripes="0" showColumnStripes="0"/>
  <extLst>
    <ext xmlns:x14="http://schemas.microsoft.com/office/spreadsheetml/2009/9/main" uri="{504A1905-F514-4f6f-8877-14C23A59335A}">
      <x14:table altText="Cash Flow" altTextSummary="Projected, actual, and calculated variance for total income and expenses."/>
    </ext>
  </extLst>
</table>
</file>

<file path=xl/tables/table34.xml><?xml version="1.0" encoding="utf-8"?>
<table xmlns="http://schemas.openxmlformats.org/spreadsheetml/2006/main" id="28" name="tblJanuary" displayName="tblJanuary" ref="A4:AG10" totalsRowCount="1">
  <tableColumns count="33">
    <tableColumn id="1" name="Employee Name" totalsRowFunction="custom" dataDxfId="279" totalsRowDxfId="280">
      <totalsRowFormula>MonthName&amp;" Total"</totalsRowFormula>
    </tableColumn>
    <tableColumn id="2" name="1" totalsRowFunction="count" dataDxfId="277" totalsRowDxfId="278"/>
    <tableColumn id="3" name="2" totalsRowFunction="count" dataDxfId="275" totalsRowDxfId="276"/>
    <tableColumn id="4" name="3" totalsRowFunction="count" dataDxfId="273" totalsRowDxfId="274"/>
    <tableColumn id="5" name="4" totalsRowFunction="count" dataDxfId="271" totalsRowDxfId="272"/>
    <tableColumn id="6" name="5" totalsRowFunction="count" dataDxfId="269" totalsRowDxfId="270"/>
    <tableColumn id="7" name="6" totalsRowFunction="count" dataDxfId="267" totalsRowDxfId="268"/>
    <tableColumn id="8" name="7" totalsRowFunction="count" dataDxfId="265" totalsRowDxfId="266"/>
    <tableColumn id="9" name="8" totalsRowFunction="count" dataDxfId="263" totalsRowDxfId="264"/>
    <tableColumn id="10" name="9" totalsRowFunction="count" dataDxfId="261" totalsRowDxfId="262"/>
    <tableColumn id="11" name="10" totalsRowFunction="count" dataDxfId="259" totalsRowDxfId="260"/>
    <tableColumn id="12" name="11" totalsRowFunction="count" dataDxfId="257" totalsRowDxfId="258"/>
    <tableColumn id="13" name="12" totalsRowFunction="count" dataDxfId="255" totalsRowDxfId="256"/>
    <tableColumn id="14" name="13" totalsRowFunction="count" dataDxfId="253" totalsRowDxfId="254"/>
    <tableColumn id="15" name="14" totalsRowFunction="count" dataDxfId="251" totalsRowDxfId="252"/>
    <tableColumn id="16" name="15" totalsRowFunction="count" dataDxfId="249" totalsRowDxfId="250"/>
    <tableColumn id="17" name="16" totalsRowFunction="count" dataDxfId="247" totalsRowDxfId="248"/>
    <tableColumn id="18" name="17" totalsRowFunction="count" dataDxfId="245" totalsRowDxfId="246"/>
    <tableColumn id="19" name="18" totalsRowFunction="count" dataDxfId="243" totalsRowDxfId="244"/>
    <tableColumn id="20" name="19" totalsRowFunction="count" dataDxfId="241" totalsRowDxfId="242"/>
    <tableColumn id="21" name="20" totalsRowFunction="count" dataDxfId="239" totalsRowDxfId="240"/>
    <tableColumn id="22" name="21" totalsRowFunction="count" dataDxfId="237" totalsRowDxfId="238"/>
    <tableColumn id="23" name="22" totalsRowFunction="count" dataDxfId="235" totalsRowDxfId="236"/>
    <tableColumn id="24" name="23" totalsRowFunction="count" dataDxfId="233" totalsRowDxfId="234"/>
    <tableColumn id="25" name="24" totalsRowFunction="count" dataDxfId="231" totalsRowDxfId="232"/>
    <tableColumn id="26" name="25" totalsRowFunction="count" dataDxfId="229" totalsRowDxfId="230"/>
    <tableColumn id="27" name="26" totalsRowFunction="count" dataDxfId="227" totalsRowDxfId="228"/>
    <tableColumn id="28" name="27" totalsRowFunction="count" dataDxfId="225" totalsRowDxfId="226"/>
    <tableColumn id="29" name="28" totalsRowFunction="count" dataDxfId="223" totalsRowDxfId="224"/>
    <tableColumn id="30" name="29" totalsRowFunction="count" dataDxfId="221" totalsRowDxfId="222"/>
    <tableColumn id="31" name="30" totalsRowFunction="count" dataDxfId="219" totalsRowDxfId="220"/>
    <tableColumn id="32" name="31" totalsRowFunction="count" dataDxfId="217" totalsRowDxfId="218"/>
    <tableColumn id="33" name="Total Days" totalsRowFunction="sum" totalsRowDxfId="216">
      <calculatedColumnFormula>COUNTA(tblJanuary[[#This Row],[1]:[31]])</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January Employee Absence Schedule" altTextSummary="Provides a list of names and calendar dates to record employee absences and specific absence type, such as V=Vacation, S=Sick, P=Personal and two placeholders for custom entries."/>
    </ext>
  </extLst>
</table>
</file>

<file path=xl/tables/table4.xml><?xml version="1.0" encoding="utf-8"?>
<table xmlns="http://schemas.openxmlformats.org/spreadsheetml/2006/main" id="26" name="tblVendors" displayName="tblVendors" ref="B21:G25" totalsRowCount="1" headerRowDxfId="313">
  <autoFilter ref="B21:G24"/>
  <tableColumns count="6">
    <tableColumn id="1" name="Estimated" totalsRowLabel="Total" totalsRowDxfId="312"/>
    <tableColumn id="2" name="Actual" totalsRowDxfId="311"/>
    <tableColumn id="3" name=" " dataDxfId="309" totalsRowDxfId="310"/>
    <tableColumn id="4" name="  " totalsRowDxfId="308"/>
    <tableColumn id="5" name="Estimated " totalsRowFunction="sum" dataDxfId="306" totalsRowDxfId="307">
      <calculatedColumnFormula>tblVendors[[#This Row],[  ]]*tblVendors[[#This Row],[Estimated]]</calculatedColumnFormula>
    </tableColumn>
    <tableColumn id="6" name="Actual " totalsRowFunction="sum" dataDxfId="304" totalsRowDxfId="305">
      <calculatedColumnFormula>tblVendors[[#This Row],[  ]]*tblVendors[[#This Row],[Actual]]</calculatedColumnFormula>
    </tableColumn>
  </tableColumns>
  <tableStyleInfo name="TableStyleLight10" showFirstColumn="0" showLastColumn="0" showRowStripes="1" showColumnStripes="0"/>
  <extLst>
    <ext xmlns:x14="http://schemas.microsoft.com/office/spreadsheetml/2009/9/main" uri="{504A1905-F514-4f6f-8877-14C23A59335A}">
      <x14:table altText="Exhibitor and vendor table" altTextSummary="Enter exhibitor and vendor information, including estimated/actual number and rates."/>
    </ext>
  </extLst>
</table>
</file>

<file path=xl/tables/table5.xml><?xml version="1.0" encoding="utf-8"?>
<table xmlns="http://schemas.openxmlformats.org/spreadsheetml/2006/main" id="27" name="tblAds" displayName="tblAds" ref="B14:G18" totalsRowCount="1" headerRowDxfId="303">
  <autoFilter ref="B14:G17"/>
  <tableColumns count="6">
    <tableColumn id="1" name="Estimated" totalsRowLabel="Total" totalsRowDxfId="302"/>
    <tableColumn id="2" name="Actual" totalsRowDxfId="301"/>
    <tableColumn id="3" name=" " dataDxfId="299" totalsRowDxfId="300"/>
    <tableColumn id="4" name="  " totalsRowDxfId="298"/>
    <tableColumn id="5" name="Estimated " totalsRowFunction="sum" dataDxfId="296" totalsRowDxfId="297">
      <calculatedColumnFormula>tblAds[[#This Row],[  ]]*tblAds[[#This Row],[Estimated]]</calculatedColumnFormula>
    </tableColumn>
    <tableColumn id="6" name="Actual " totalsRowFunction="sum" dataDxfId="294" totalsRowDxfId="295">
      <calculatedColumnFormula>tblAds[[#This Row],[  ]]*tblAds[[#This Row],[Actual]]</calculatedColumnFormula>
    </tableColumn>
  </tableColumns>
  <tableStyleInfo name="TableStyleLight10" showFirstColumn="0" showLastColumn="0" showRowStripes="1" showColumnStripes="0"/>
  <extLst>
    <ext xmlns:x14="http://schemas.microsoft.com/office/spreadsheetml/2009/9/main" uri="{504A1905-F514-4f6f-8877-14C23A59335A}">
      <x14:table altText="Program ads table" altTextSummary="Enter program advertisement information, including estimated/actual number of ads and rates."/>
    </ext>
  </extLst>
</table>
</file>

<file path=xl/tables/table6.xml><?xml version="1.0" encoding="utf-8"?>
<table xmlns="http://schemas.openxmlformats.org/spreadsheetml/2006/main" id="17" name="tblSite" displayName="tblSite" ref="B7:D12" totalsRowCount="1" headerRowDxfId="341">
  <autoFilter ref="B7:D11"/>
  <tableColumns count="3">
    <tableColumn id="1" name="Site" totalsRowLabel="Total"/>
    <tableColumn id="2" name="Estimated" totalsRowFunction="sum"/>
    <tableColumn id="3" name="Actual" totalsRowFunction="sum"/>
  </tableColumns>
  <tableStyleInfo name="TableStyleLight12" showFirstColumn="0" showLastColumn="0" showRowStripes="1" showColumnStripes="0"/>
  <extLst>
    <ext xmlns:x14="http://schemas.microsoft.com/office/spreadsheetml/2009/9/main" uri="{504A1905-F514-4f6f-8877-14C23A59335A}">
      <x14:table altText="Site table" altTextSummary="Enter on-site equipment estimated and actual values."/>
    </ext>
  </extLst>
</table>
</file>

<file path=xl/tables/table7.xml><?xml version="1.0" encoding="utf-8"?>
<table xmlns="http://schemas.openxmlformats.org/spreadsheetml/2006/main" id="18" name="tblRefreshments" displayName="tblRefreshments" ref="F7:H12" totalsRowCount="1" headerRowDxfId="340">
  <autoFilter ref="F7:H11"/>
  <tableColumns count="3">
    <tableColumn id="1" name="Refreshments" totalsRowLabel="Total"/>
    <tableColumn id="2" name="Estimated" totalsRowFunction="sum" totalsRowDxfId="339"/>
    <tableColumn id="3" name="Actual" totalsRowFunction="sum" totalsRowDxfId="338"/>
  </tableColumns>
  <tableStyleInfo name="TableStyleLight12" showFirstColumn="0" showLastColumn="0" showRowStripes="1" showColumnStripes="0"/>
  <extLst>
    <ext xmlns:x14="http://schemas.microsoft.com/office/spreadsheetml/2009/9/main" uri="{504A1905-F514-4f6f-8877-14C23A59335A}">
      <x14:table altText="Refreshments table" altTextSummary="Enter refreshments estimated and actual values."/>
    </ext>
  </extLst>
</table>
</file>

<file path=xl/tables/table8.xml><?xml version="1.0" encoding="utf-8"?>
<table xmlns="http://schemas.openxmlformats.org/spreadsheetml/2006/main" id="19" name="tblPrograms" displayName="tblPrograms" ref="F15:H21" totalsRowCount="1" headerRowDxfId="337">
  <autoFilter ref="F15:H20"/>
  <tableColumns count="3">
    <tableColumn id="1" name="Program" totalsRowLabel="Total"/>
    <tableColumn id="2" name="Estimated" totalsRowFunction="sum"/>
    <tableColumn id="3" name="Actual" totalsRowFunction="sum"/>
  </tableColumns>
  <tableStyleInfo name="TableStyleLight12" showFirstColumn="0" showLastColumn="0" showRowStripes="1" showColumnStripes="0"/>
  <extLst>
    <ext xmlns:x14="http://schemas.microsoft.com/office/spreadsheetml/2009/9/main" uri="{504A1905-F514-4f6f-8877-14C23A59335A}">
      <x14:table altText="Program table" altTextSummary="Enter program estimated and actual values."/>
    </ext>
  </extLst>
</table>
</file>

<file path=xl/tables/table9.xml><?xml version="1.0" encoding="utf-8"?>
<table xmlns="http://schemas.openxmlformats.org/spreadsheetml/2006/main" id="20" name="tblDecorations" displayName="tblDecorations" ref="B15:D21" totalsRowCount="1" headerRowDxfId="336">
  <autoFilter ref="B15:D20"/>
  <tableColumns count="3">
    <tableColumn id="1" name="Decorations" totalsRowLabel="Total"/>
    <tableColumn id="2" name="Estimated" totalsRowFunction="sum"/>
    <tableColumn id="3" name="Actual" totalsRowFunction="sum"/>
  </tableColumns>
  <tableStyleInfo name="TableStyleLight12" showFirstColumn="0" showLastColumn="0" showRowStripes="1" showColumnStripes="0"/>
  <extLst>
    <ext xmlns:x14="http://schemas.microsoft.com/office/spreadsheetml/2009/9/main" uri="{504A1905-F514-4f6f-8877-14C23A59335A}">
      <x14:table altText="Decorations table" altTextSummary="Enter decorations estimated and actual values."/>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8" Type="http://schemas.openxmlformats.org/officeDocument/2006/relationships/table" Target="../tables/table24.xml"/><Relationship Id="rId13" Type="http://schemas.openxmlformats.org/officeDocument/2006/relationships/table" Target="../tables/table29.xml"/><Relationship Id="rId3" Type="http://schemas.openxmlformats.org/officeDocument/2006/relationships/table" Target="../tables/table19.xml"/><Relationship Id="rId7" Type="http://schemas.openxmlformats.org/officeDocument/2006/relationships/table" Target="../tables/table23.xml"/><Relationship Id="rId12" Type="http://schemas.openxmlformats.org/officeDocument/2006/relationships/table" Target="../tables/table28.xml"/><Relationship Id="rId17" Type="http://schemas.openxmlformats.org/officeDocument/2006/relationships/table" Target="../tables/table33.xml"/><Relationship Id="rId2" Type="http://schemas.openxmlformats.org/officeDocument/2006/relationships/drawing" Target="../drawings/drawing7.xml"/><Relationship Id="rId16" Type="http://schemas.openxmlformats.org/officeDocument/2006/relationships/table" Target="../tables/table32.xml"/><Relationship Id="rId1" Type="http://schemas.openxmlformats.org/officeDocument/2006/relationships/printerSettings" Target="../printerSettings/printerSettings12.bin"/><Relationship Id="rId6" Type="http://schemas.openxmlformats.org/officeDocument/2006/relationships/table" Target="../tables/table22.xml"/><Relationship Id="rId11" Type="http://schemas.openxmlformats.org/officeDocument/2006/relationships/table" Target="../tables/table27.xml"/><Relationship Id="rId5" Type="http://schemas.openxmlformats.org/officeDocument/2006/relationships/table" Target="../tables/table21.xml"/><Relationship Id="rId15" Type="http://schemas.openxmlformats.org/officeDocument/2006/relationships/table" Target="../tables/table31.xml"/><Relationship Id="rId10" Type="http://schemas.openxmlformats.org/officeDocument/2006/relationships/table" Target="../tables/table26.xml"/><Relationship Id="rId4" Type="http://schemas.openxmlformats.org/officeDocument/2006/relationships/table" Target="../tables/table20.xml"/><Relationship Id="rId9" Type="http://schemas.openxmlformats.org/officeDocument/2006/relationships/table" Target="../tables/table25.xml"/><Relationship Id="rId14" Type="http://schemas.openxmlformats.org/officeDocument/2006/relationships/table" Target="../tables/table30.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34.xml"/><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1" Type="http://schemas.openxmlformats.org/officeDocument/2006/relationships/printerSettings" Target="../printerSettings/printerSettings14.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 Id="rId5" Type="http://schemas.openxmlformats.org/officeDocument/2006/relationships/table" Target="../tables/table5.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8" Type="http://schemas.openxmlformats.org/officeDocument/2006/relationships/table" Target="../tables/table12.xml"/><Relationship Id="rId3" Type="http://schemas.openxmlformats.org/officeDocument/2006/relationships/table" Target="../tables/table7.xml"/><Relationship Id="rId7" Type="http://schemas.openxmlformats.org/officeDocument/2006/relationships/table" Target="../tables/table11.xml"/><Relationship Id="rId2" Type="http://schemas.openxmlformats.org/officeDocument/2006/relationships/table" Target="../tables/table6.xml"/><Relationship Id="rId1" Type="http://schemas.openxmlformats.org/officeDocument/2006/relationships/printerSettings" Target="../printerSettings/printerSettings3.bin"/><Relationship Id="rId6" Type="http://schemas.openxmlformats.org/officeDocument/2006/relationships/table" Target="../tables/table10.xml"/><Relationship Id="rId5" Type="http://schemas.openxmlformats.org/officeDocument/2006/relationships/table" Target="../tables/table9.xml"/><Relationship Id="rId4" Type="http://schemas.openxmlformats.org/officeDocument/2006/relationships/table" Target="../tables/table8.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3.xml"/><Relationship Id="rId1" Type="http://schemas.openxmlformats.org/officeDocument/2006/relationships/printerSettings" Target="../printerSettings/printerSettings8.bin"/><Relationship Id="rId5" Type="http://schemas.openxmlformats.org/officeDocument/2006/relationships/table" Target="../tables/table18.xml"/><Relationship Id="rId4" Type="http://schemas.openxmlformats.org/officeDocument/2006/relationships/table" Target="../tables/table1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autoPageBreaks="0" fitToPage="1"/>
  </sheetPr>
  <dimension ref="B2:F8"/>
  <sheetViews>
    <sheetView showGridLines="0" workbookViewId="0">
      <selection activeCell="J14" sqref="J14"/>
    </sheetView>
  </sheetViews>
  <sheetFormatPr defaultRowHeight="12.75" x14ac:dyDescent="0.2"/>
  <cols>
    <col min="1" max="1" width="1.7109375" style="18" customWidth="1"/>
    <col min="2" max="2" width="23.5703125" style="18" customWidth="1"/>
    <col min="3" max="4" width="16" style="18" customWidth="1"/>
    <col min="5" max="5" width="3.7109375" style="18" customWidth="1"/>
    <col min="6" max="6" width="66.28515625" style="18" customWidth="1"/>
    <col min="7" max="16384" width="9.140625" style="18"/>
  </cols>
  <sheetData>
    <row r="2" spans="2:6" ht="28.5" x14ac:dyDescent="0.45">
      <c r="B2" s="23" t="s">
        <v>88</v>
      </c>
      <c r="C2" s="23"/>
      <c r="D2" s="23"/>
      <c r="E2" s="23"/>
      <c r="F2" s="23"/>
    </row>
    <row r="3" spans="2:6" ht="18.75" x14ac:dyDescent="0.3">
      <c r="B3" s="22" t="s">
        <v>87</v>
      </c>
      <c r="C3" s="22"/>
      <c r="D3" s="22"/>
    </row>
    <row r="5" spans="2:6" ht="15" x14ac:dyDescent="0.25">
      <c r="B5" s="21" t="s">
        <v>78</v>
      </c>
      <c r="C5" s="21" t="s">
        <v>86</v>
      </c>
      <c r="D5" s="21" t="s">
        <v>6</v>
      </c>
    </row>
    <row r="6" spans="2:6" ht="36.75" customHeight="1" x14ac:dyDescent="0.2">
      <c r="B6" s="20" t="s">
        <v>73</v>
      </c>
      <c r="C6" s="19">
        <f>INCOME!F5</f>
        <v>1936</v>
      </c>
      <c r="D6" s="19">
        <f>INCOME!G5</f>
        <v>1831</v>
      </c>
    </row>
    <row r="7" spans="2:6" ht="36.75" customHeight="1" x14ac:dyDescent="0.2">
      <c r="B7" s="20" t="s">
        <v>85</v>
      </c>
      <c r="C7" s="19">
        <f>EXPENSES!G5</f>
        <v>850</v>
      </c>
      <c r="D7" s="19">
        <f>EXPENSES!H5</f>
        <v>300</v>
      </c>
    </row>
    <row r="8" spans="2:6" ht="36.75" customHeight="1" x14ac:dyDescent="0.2">
      <c r="B8" s="20" t="s">
        <v>84</v>
      </c>
      <c r="C8" s="19">
        <f>C6-C7</f>
        <v>1086</v>
      </c>
      <c r="D8" s="19">
        <f>D6-D7</f>
        <v>1531</v>
      </c>
    </row>
  </sheetData>
  <pageMargins left="0.4" right="0.4" top="0.4" bottom="0.4" header="0.3" footer="0.3"/>
  <pageSetup orientation="landscape" horizontalDpi="4294967293" verticalDpi="0"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L36"/>
  <sheetViews>
    <sheetView showGridLines="0" zoomScaleSheetLayoutView="75" workbookViewId="0">
      <selection activeCell="B1" sqref="B1:F1"/>
    </sheetView>
  </sheetViews>
  <sheetFormatPr defaultColWidth="9.140625" defaultRowHeight="12.75" x14ac:dyDescent="0.2"/>
  <cols>
    <col min="1" max="1" width="1.42578125" style="110" customWidth="1"/>
    <col min="2" max="2" width="13.85546875" style="110" customWidth="1"/>
    <col min="3" max="3" width="12.7109375" style="110" customWidth="1"/>
    <col min="4" max="4" width="16.5703125" style="110" customWidth="1"/>
    <col min="5" max="5" width="13.28515625" style="110" customWidth="1"/>
    <col min="6" max="6" width="2.28515625" style="110" customWidth="1"/>
    <col min="7" max="8" width="17.28515625" style="110" customWidth="1"/>
    <col min="9" max="9" width="1.42578125" style="110" customWidth="1"/>
    <col min="10" max="10" width="50.7109375" style="110" customWidth="1"/>
    <col min="11" max="11" width="1" style="110" customWidth="1"/>
    <col min="12" max="16384" width="9.140625" style="110"/>
  </cols>
  <sheetData>
    <row r="1" spans="1:12" ht="72.95" customHeight="1" thickBot="1" x14ac:dyDescent="0.6">
      <c r="A1" s="146"/>
      <c r="B1" s="150" t="str">
        <f>'Expenses (2)'!B2</f>
        <v>Event Name</v>
      </c>
      <c r="C1" s="182"/>
      <c r="D1" s="182"/>
      <c r="E1" s="182"/>
      <c r="F1" s="182"/>
      <c r="G1" s="148"/>
      <c r="H1" s="147"/>
      <c r="I1" s="146"/>
      <c r="J1" s="146"/>
      <c r="K1" s="146"/>
    </row>
    <row r="2" spans="1:12" ht="27.95" customHeight="1" x14ac:dyDescent="0.2">
      <c r="A2" s="143"/>
      <c r="B2" s="181" t="s">
        <v>248</v>
      </c>
      <c r="C2" s="180"/>
      <c r="D2" s="180"/>
      <c r="E2" s="180"/>
      <c r="F2" s="180"/>
      <c r="G2" s="180"/>
      <c r="H2" s="180"/>
      <c r="I2" s="179"/>
      <c r="J2" s="179"/>
      <c r="K2" s="179"/>
    </row>
    <row r="3" spans="1:12" ht="8.1" customHeight="1" thickBot="1" x14ac:dyDescent="0.25">
      <c r="B3" s="114"/>
      <c r="C3" s="114"/>
      <c r="D3" s="178"/>
      <c r="E3" s="114"/>
      <c r="F3" s="114"/>
      <c r="G3" s="114"/>
      <c r="H3" s="114"/>
    </row>
    <row r="4" spans="1:12" ht="14.25" x14ac:dyDescent="0.2">
      <c r="B4" s="177" t="s">
        <v>137</v>
      </c>
      <c r="C4" s="166"/>
      <c r="D4" s="166"/>
      <c r="E4" s="166"/>
      <c r="F4" s="166"/>
      <c r="G4" s="116" t="s">
        <v>238</v>
      </c>
      <c r="H4" s="115" t="s">
        <v>237</v>
      </c>
      <c r="J4" s="176" t="s">
        <v>247</v>
      </c>
      <c r="K4" s="175"/>
      <c r="L4" s="169"/>
    </row>
    <row r="5" spans="1:12" x14ac:dyDescent="0.2">
      <c r="B5" s="165" t="s">
        <v>86</v>
      </c>
      <c r="C5" s="165" t="s">
        <v>6</v>
      </c>
      <c r="D5" s="164"/>
      <c r="E5" s="114"/>
      <c r="F5" s="114"/>
      <c r="J5" s="120"/>
      <c r="K5" s="169"/>
      <c r="L5" s="169"/>
    </row>
    <row r="6" spans="1:12" x14ac:dyDescent="0.2">
      <c r="B6" s="173">
        <v>300</v>
      </c>
      <c r="C6" s="172">
        <v>100</v>
      </c>
      <c r="D6" s="157" t="s">
        <v>136</v>
      </c>
      <c r="E6" s="159">
        <v>5</v>
      </c>
      <c r="F6" s="114"/>
      <c r="G6" s="174">
        <f>B6*E6</f>
        <v>1500</v>
      </c>
      <c r="H6" s="174">
        <f>C6*E6</f>
        <v>500</v>
      </c>
      <c r="J6" s="120"/>
      <c r="K6" s="169"/>
      <c r="L6" s="169"/>
    </row>
    <row r="7" spans="1:12" x14ac:dyDescent="0.2">
      <c r="B7" s="173">
        <v>200</v>
      </c>
      <c r="C7" s="172">
        <v>50</v>
      </c>
      <c r="D7" s="157" t="s">
        <v>135</v>
      </c>
      <c r="E7" s="159">
        <v>2</v>
      </c>
      <c r="F7" s="114"/>
      <c r="G7" s="174">
        <f>B7*E7</f>
        <v>400</v>
      </c>
      <c r="H7" s="174">
        <f>C7*E7</f>
        <v>100</v>
      </c>
      <c r="J7" s="120"/>
      <c r="K7" s="169"/>
      <c r="L7" s="169"/>
    </row>
    <row r="8" spans="1:12" x14ac:dyDescent="0.2">
      <c r="B8" s="173">
        <v>100</v>
      </c>
      <c r="C8" s="172">
        <v>50</v>
      </c>
      <c r="D8" s="157" t="s">
        <v>134</v>
      </c>
      <c r="E8" s="159">
        <v>1</v>
      </c>
      <c r="F8" s="114"/>
      <c r="G8" s="171">
        <f>B8*E8</f>
        <v>100</v>
      </c>
      <c r="H8" s="171">
        <f>C8*E8</f>
        <v>50</v>
      </c>
      <c r="J8" s="120"/>
      <c r="K8" s="169"/>
      <c r="L8" s="169"/>
    </row>
    <row r="9" spans="1:12" x14ac:dyDescent="0.2">
      <c r="B9" s="164"/>
      <c r="C9" s="164"/>
      <c r="D9" s="157"/>
      <c r="E9" s="156"/>
      <c r="F9" s="114"/>
      <c r="G9" s="170">
        <f>SUM(G6:G8)</f>
        <v>2000</v>
      </c>
      <c r="H9" s="170">
        <f>SUM(H6:H8)</f>
        <v>650</v>
      </c>
      <c r="J9" s="120"/>
      <c r="K9" s="169"/>
      <c r="L9" s="169"/>
    </row>
    <row r="10" spans="1:12" ht="13.5" thickBot="1" x14ac:dyDescent="0.25">
      <c r="B10" s="114"/>
      <c r="C10" s="114"/>
      <c r="D10" s="114"/>
      <c r="E10" s="114"/>
      <c r="F10" s="114"/>
      <c r="J10" s="120"/>
      <c r="K10" s="169"/>
      <c r="L10" s="169"/>
    </row>
    <row r="11" spans="1:12" ht="14.25" x14ac:dyDescent="0.2">
      <c r="B11" s="168" t="s">
        <v>133</v>
      </c>
      <c r="C11" s="166"/>
      <c r="D11" s="166"/>
      <c r="E11" s="166"/>
      <c r="F11" s="166"/>
      <c r="G11" s="116" t="s">
        <v>230</v>
      </c>
      <c r="H11" s="115" t="s">
        <v>229</v>
      </c>
      <c r="J11" s="120"/>
      <c r="K11" s="154"/>
      <c r="L11" s="154"/>
    </row>
    <row r="12" spans="1:12" x14ac:dyDescent="0.2">
      <c r="B12" s="165" t="s">
        <v>86</v>
      </c>
      <c r="C12" s="165" t="s">
        <v>6</v>
      </c>
      <c r="D12" s="164"/>
      <c r="E12" s="114"/>
      <c r="F12" s="114"/>
      <c r="J12" s="120"/>
      <c r="K12" s="154"/>
      <c r="L12" s="154"/>
    </row>
    <row r="13" spans="1:12" x14ac:dyDescent="0.2">
      <c r="B13" s="162">
        <v>300</v>
      </c>
      <c r="C13" s="161">
        <v>100</v>
      </c>
      <c r="D13" s="157" t="s">
        <v>132</v>
      </c>
      <c r="E13" s="159">
        <v>20</v>
      </c>
      <c r="F13" s="114"/>
      <c r="G13" s="163">
        <f>B13*E13</f>
        <v>6000</v>
      </c>
      <c r="H13" s="163">
        <f>C13*E13</f>
        <v>2000</v>
      </c>
      <c r="J13" s="120"/>
      <c r="K13" s="154"/>
      <c r="L13" s="154"/>
    </row>
    <row r="14" spans="1:12" x14ac:dyDescent="0.2">
      <c r="B14" s="162">
        <v>200</v>
      </c>
      <c r="C14" s="161">
        <v>50</v>
      </c>
      <c r="D14" s="157" t="s">
        <v>131</v>
      </c>
      <c r="E14" s="159">
        <v>10</v>
      </c>
      <c r="F14" s="114"/>
      <c r="G14" s="163">
        <f>B14*E14</f>
        <v>2000</v>
      </c>
      <c r="H14" s="163">
        <f>C14*E14</f>
        <v>500</v>
      </c>
      <c r="J14" s="120"/>
      <c r="K14" s="154"/>
      <c r="L14" s="154"/>
    </row>
    <row r="15" spans="1:12" x14ac:dyDescent="0.2">
      <c r="B15" s="162">
        <v>100</v>
      </c>
      <c r="C15" s="161">
        <v>50</v>
      </c>
      <c r="D15" s="157" t="s">
        <v>130</v>
      </c>
      <c r="E15" s="159">
        <v>5</v>
      </c>
      <c r="F15" s="114"/>
      <c r="G15" s="158">
        <f>B15*E15</f>
        <v>500</v>
      </c>
      <c r="H15" s="158">
        <f>C15*E15</f>
        <v>250</v>
      </c>
      <c r="J15" s="120"/>
      <c r="K15" s="154"/>
      <c r="L15" s="154"/>
    </row>
    <row r="16" spans="1:12" x14ac:dyDescent="0.2">
      <c r="B16" s="114"/>
      <c r="C16" s="114"/>
      <c r="D16" s="157"/>
      <c r="E16" s="156"/>
      <c r="F16" s="114"/>
      <c r="G16" s="155">
        <f>SUM(G13:G15)</f>
        <v>8500</v>
      </c>
      <c r="H16" s="155">
        <f>SUM(H13:H15)</f>
        <v>2750</v>
      </c>
      <c r="J16" s="120"/>
      <c r="K16" s="154"/>
      <c r="L16" s="154"/>
    </row>
    <row r="17" spans="2:12" ht="13.5" thickBot="1" x14ac:dyDescent="0.25">
      <c r="B17" s="114"/>
      <c r="C17" s="114"/>
      <c r="D17" s="114"/>
      <c r="E17" s="114"/>
      <c r="F17" s="114"/>
      <c r="J17" s="120"/>
      <c r="K17" s="154"/>
      <c r="L17" s="154"/>
    </row>
    <row r="18" spans="2:12" ht="14.25" x14ac:dyDescent="0.2">
      <c r="B18" s="168" t="s">
        <v>129</v>
      </c>
      <c r="C18" s="166"/>
      <c r="D18" s="166"/>
      <c r="E18" s="166"/>
      <c r="F18" s="166"/>
      <c r="G18" s="116" t="s">
        <v>230</v>
      </c>
      <c r="H18" s="115" t="s">
        <v>229</v>
      </c>
      <c r="J18" s="120"/>
      <c r="K18" s="154"/>
      <c r="L18" s="154"/>
    </row>
    <row r="19" spans="2:12" x14ac:dyDescent="0.2">
      <c r="B19" s="165" t="s">
        <v>86</v>
      </c>
      <c r="C19" s="165" t="s">
        <v>6</v>
      </c>
      <c r="D19" s="164"/>
      <c r="E19" s="114"/>
      <c r="F19" s="114"/>
      <c r="J19" s="120"/>
      <c r="K19" s="154"/>
      <c r="L19" s="154"/>
    </row>
    <row r="20" spans="2:12" x14ac:dyDescent="0.2">
      <c r="B20" s="162">
        <v>100</v>
      </c>
      <c r="C20" s="161">
        <v>50</v>
      </c>
      <c r="D20" s="157" t="s">
        <v>128</v>
      </c>
      <c r="E20" s="159">
        <v>20</v>
      </c>
      <c r="F20" s="114"/>
      <c r="G20" s="163">
        <f>B20*E20</f>
        <v>2000</v>
      </c>
      <c r="H20" s="163">
        <f>C20*E20</f>
        <v>1000</v>
      </c>
      <c r="J20" s="120"/>
      <c r="K20" s="154"/>
      <c r="L20" s="154"/>
    </row>
    <row r="21" spans="2:12" x14ac:dyDescent="0.2">
      <c r="B21" s="162">
        <v>100</v>
      </c>
      <c r="C21" s="161">
        <v>10</v>
      </c>
      <c r="D21" s="157" t="s">
        <v>127</v>
      </c>
      <c r="E21" s="159">
        <v>50</v>
      </c>
      <c r="F21" s="114"/>
      <c r="G21" s="163">
        <f>B21*E21</f>
        <v>5000</v>
      </c>
      <c r="H21" s="163">
        <f>C21*E21</f>
        <v>500</v>
      </c>
      <c r="J21" s="120"/>
      <c r="K21" s="154"/>
      <c r="L21" s="154"/>
    </row>
    <row r="22" spans="2:12" x14ac:dyDescent="0.2">
      <c r="B22" s="162">
        <v>50</v>
      </c>
      <c r="C22" s="161">
        <v>2</v>
      </c>
      <c r="D22" s="157" t="s">
        <v>126</v>
      </c>
      <c r="E22" s="159">
        <v>5</v>
      </c>
      <c r="F22" s="114"/>
      <c r="G22" s="158">
        <f>B22*E22</f>
        <v>250</v>
      </c>
      <c r="H22" s="158">
        <f>C22*E22</f>
        <v>10</v>
      </c>
      <c r="J22" s="120"/>
      <c r="K22" s="154"/>
      <c r="L22" s="154"/>
    </row>
    <row r="23" spans="2:12" x14ac:dyDescent="0.2">
      <c r="B23" s="114"/>
      <c r="C23" s="114"/>
      <c r="D23" s="157"/>
      <c r="E23" s="156"/>
      <c r="F23" s="114"/>
      <c r="G23" s="155">
        <f>SUM(G20:G22)</f>
        <v>7250</v>
      </c>
      <c r="H23" s="155">
        <f>SUM(H20:H22)</f>
        <v>1510</v>
      </c>
      <c r="J23" s="120"/>
      <c r="K23" s="154"/>
      <c r="L23" s="154"/>
    </row>
    <row r="24" spans="2:12" ht="13.5" thickBot="1" x14ac:dyDescent="0.25">
      <c r="B24" s="114"/>
      <c r="C24" s="114"/>
      <c r="D24" s="114"/>
      <c r="E24" s="114"/>
      <c r="F24" s="114"/>
      <c r="J24" s="120"/>
      <c r="K24" s="154"/>
      <c r="L24" s="154"/>
    </row>
    <row r="25" spans="2:12" ht="14.25" x14ac:dyDescent="0.2">
      <c r="B25" s="168" t="s">
        <v>125</v>
      </c>
      <c r="C25" s="166"/>
      <c r="D25" s="167"/>
      <c r="E25" s="166"/>
      <c r="F25" s="166"/>
      <c r="G25" s="116" t="s">
        <v>230</v>
      </c>
      <c r="H25" s="115" t="s">
        <v>229</v>
      </c>
      <c r="J25" s="120"/>
      <c r="K25" s="154"/>
      <c r="L25" s="154"/>
    </row>
    <row r="26" spans="2:12" x14ac:dyDescent="0.2">
      <c r="B26" s="165" t="s">
        <v>86</v>
      </c>
      <c r="C26" s="165" t="s">
        <v>6</v>
      </c>
      <c r="D26" s="164"/>
      <c r="E26" s="114"/>
      <c r="F26" s="114"/>
      <c r="J26" s="120"/>
      <c r="K26" s="154"/>
      <c r="L26" s="154"/>
    </row>
    <row r="27" spans="2:12" x14ac:dyDescent="0.2">
      <c r="B27" s="162">
        <v>400</v>
      </c>
      <c r="C27" s="161">
        <v>300</v>
      </c>
      <c r="D27" s="160" t="s">
        <v>122</v>
      </c>
      <c r="E27" s="159">
        <v>20</v>
      </c>
      <c r="F27" s="114"/>
      <c r="G27" s="163">
        <f>B27*E27</f>
        <v>8000</v>
      </c>
      <c r="H27" s="163">
        <f>C27*E27</f>
        <v>6000</v>
      </c>
      <c r="J27" s="120"/>
      <c r="K27" s="154"/>
      <c r="L27" s="154"/>
    </row>
    <row r="28" spans="2:12" x14ac:dyDescent="0.2">
      <c r="B28" s="162">
        <v>300</v>
      </c>
      <c r="C28" s="161">
        <v>200</v>
      </c>
      <c r="D28" s="160" t="s">
        <v>122</v>
      </c>
      <c r="E28" s="159">
        <v>15</v>
      </c>
      <c r="F28" s="114"/>
      <c r="G28" s="163">
        <f>B28*E28</f>
        <v>4500</v>
      </c>
      <c r="H28" s="163">
        <f>C28*E28</f>
        <v>3000</v>
      </c>
      <c r="J28" s="120"/>
      <c r="K28" s="154"/>
      <c r="L28" s="154"/>
    </row>
    <row r="29" spans="2:12" x14ac:dyDescent="0.2">
      <c r="B29" s="162">
        <v>200</v>
      </c>
      <c r="C29" s="161">
        <v>100</v>
      </c>
      <c r="D29" s="160" t="s">
        <v>122</v>
      </c>
      <c r="E29" s="159">
        <v>10</v>
      </c>
      <c r="F29" s="114"/>
      <c r="G29" s="163">
        <f>B29*E29</f>
        <v>2000</v>
      </c>
      <c r="H29" s="163">
        <f>C29*E29</f>
        <v>1000</v>
      </c>
      <c r="J29" s="120"/>
      <c r="K29" s="154"/>
      <c r="L29" s="154"/>
    </row>
    <row r="30" spans="2:12" x14ac:dyDescent="0.2">
      <c r="B30" s="162">
        <v>100</v>
      </c>
      <c r="C30" s="161">
        <v>0</v>
      </c>
      <c r="D30" s="160" t="s">
        <v>122</v>
      </c>
      <c r="E30" s="159">
        <v>5</v>
      </c>
      <c r="F30" s="114"/>
      <c r="G30" s="158">
        <f>B30*E30</f>
        <v>500</v>
      </c>
      <c r="H30" s="158">
        <f>C30*E30</f>
        <v>0</v>
      </c>
      <c r="J30" s="120"/>
      <c r="K30" s="154"/>
      <c r="L30" s="154"/>
    </row>
    <row r="31" spans="2:12" x14ac:dyDescent="0.2">
      <c r="B31" s="114"/>
      <c r="C31" s="114"/>
      <c r="D31" s="157"/>
      <c r="E31" s="156"/>
      <c r="F31" s="114"/>
      <c r="G31" s="155">
        <f>SUM(G27:G30)</f>
        <v>15000</v>
      </c>
      <c r="H31" s="155">
        <f>SUM(H27:H30)</f>
        <v>10000</v>
      </c>
      <c r="J31" s="120"/>
      <c r="K31" s="154"/>
      <c r="L31" s="154"/>
    </row>
    <row r="32" spans="2:12" ht="13.5" thickBot="1" x14ac:dyDescent="0.25">
      <c r="B32" s="114"/>
      <c r="C32" s="114"/>
      <c r="D32" s="114"/>
      <c r="E32" s="114"/>
      <c r="F32" s="114"/>
      <c r="J32" s="120"/>
      <c r="K32" s="154"/>
      <c r="L32" s="154"/>
    </row>
    <row r="33" spans="1:11" ht="15" thickBot="1" x14ac:dyDescent="0.25">
      <c r="B33" s="117" t="s">
        <v>246</v>
      </c>
      <c r="C33" s="153"/>
      <c r="D33" s="153"/>
      <c r="E33" s="153"/>
      <c r="F33" s="153"/>
      <c r="G33" s="116" t="s">
        <v>230</v>
      </c>
      <c r="H33" s="152" t="s">
        <v>229</v>
      </c>
    </row>
    <row r="34" spans="1:11" ht="21.95" customHeight="1" x14ac:dyDescent="0.2">
      <c r="G34" s="151">
        <f>SUM(G9,G16,G23,G31)</f>
        <v>32750</v>
      </c>
      <c r="H34" s="151">
        <f>SUM(H9,H16,H23,H31)</f>
        <v>14910</v>
      </c>
    </row>
    <row r="36" spans="1:11" ht="3.95" customHeight="1" x14ac:dyDescent="0.2">
      <c r="A36" s="111"/>
      <c r="B36" s="111"/>
      <c r="C36" s="111"/>
      <c r="D36" s="111"/>
      <c r="E36" s="111"/>
      <c r="F36" s="111"/>
      <c r="G36" s="111"/>
      <c r="H36" s="111"/>
      <c r="I36" s="111"/>
      <c r="J36" s="111"/>
      <c r="K36" s="111"/>
    </row>
  </sheetData>
  <mergeCells count="2">
    <mergeCell ref="B2:H2"/>
    <mergeCell ref="B1:F1"/>
  </mergeCells>
  <printOptions horizontalCentered="1"/>
  <pageMargins left="0.75" right="0.75" top="1" bottom="1" header="0.5" footer="0.5"/>
  <pageSetup scale="57" orientation="portrait" horizontalDpi="4294967292" verticalDpi="4294967292" r:id="rId1"/>
  <colBreaks count="1" manualBreakCount="1">
    <brk id="11" max="1048575" man="1" pt="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pageSetUpPr fitToPage="1"/>
  </sheetPr>
  <dimension ref="A1:I56"/>
  <sheetViews>
    <sheetView showGridLines="0" workbookViewId="0">
      <selection activeCell="B2" sqref="B2:E2"/>
    </sheetView>
  </sheetViews>
  <sheetFormatPr defaultColWidth="9.140625" defaultRowHeight="12.75" x14ac:dyDescent="0.2"/>
  <cols>
    <col min="1" max="1" width="1.85546875" style="110" customWidth="1"/>
    <col min="2" max="2" width="24.140625" style="110" customWidth="1"/>
    <col min="3" max="3" width="14.7109375" style="110" customWidth="1"/>
    <col min="4" max="4" width="14.85546875" style="110" customWidth="1"/>
    <col min="5" max="5" width="1.42578125" style="110" customWidth="1"/>
    <col min="6" max="6" width="48.7109375" style="110" customWidth="1"/>
    <col min="7" max="7" width="1" style="110" customWidth="1"/>
    <col min="8" max="8" width="0.28515625" style="110" customWidth="1"/>
    <col min="9" max="9" width="1" style="110" customWidth="1"/>
    <col min="10" max="16384" width="9.140625" style="110"/>
  </cols>
  <sheetData>
    <row r="1" spans="1:9" ht="5.0999999999999996" customHeight="1" x14ac:dyDescent="0.2">
      <c r="A1" s="111"/>
      <c r="B1" s="111"/>
      <c r="C1" s="111"/>
      <c r="D1" s="111"/>
      <c r="E1" s="111"/>
      <c r="F1" s="111"/>
      <c r="G1" s="111"/>
      <c r="H1" s="111"/>
      <c r="I1" s="111"/>
    </row>
    <row r="2" spans="1:9" ht="72.95" customHeight="1" thickBot="1" x14ac:dyDescent="0.25">
      <c r="A2" s="146"/>
      <c r="B2" s="150" t="s">
        <v>245</v>
      </c>
      <c r="C2" s="149"/>
      <c r="D2" s="149"/>
      <c r="E2" s="149"/>
      <c r="F2" s="148" t="s">
        <v>244</v>
      </c>
      <c r="G2" s="147"/>
      <c r="H2" s="146"/>
      <c r="I2" s="146"/>
    </row>
    <row r="3" spans="1:9" ht="27.95" customHeight="1" x14ac:dyDescent="0.2">
      <c r="A3" s="143"/>
      <c r="B3" s="145" t="s">
        <v>243</v>
      </c>
      <c r="C3" s="144"/>
      <c r="D3" s="144"/>
      <c r="E3" s="144"/>
      <c r="F3" s="144"/>
      <c r="G3" s="144"/>
      <c r="H3" s="144"/>
      <c r="I3" s="143"/>
    </row>
    <row r="4" spans="1:9" ht="8.1" customHeight="1" thickBot="1" x14ac:dyDescent="0.25">
      <c r="B4" s="142"/>
      <c r="C4" s="141"/>
      <c r="D4" s="141"/>
      <c r="E4" s="140"/>
      <c r="F4" s="141"/>
      <c r="G4" s="141"/>
      <c r="H4" s="140"/>
    </row>
    <row r="5" spans="1:9" ht="17.100000000000001" customHeight="1" thickBot="1" x14ac:dyDescent="0.25">
      <c r="B5" s="130" t="s">
        <v>120</v>
      </c>
      <c r="C5" s="116" t="s">
        <v>238</v>
      </c>
      <c r="D5" s="115" t="s">
        <v>237</v>
      </c>
      <c r="F5" s="139" t="s">
        <v>242</v>
      </c>
      <c r="G5" s="133"/>
    </row>
    <row r="6" spans="1:9" x14ac:dyDescent="0.2">
      <c r="B6" s="126" t="s">
        <v>118</v>
      </c>
      <c r="C6" s="128">
        <v>500</v>
      </c>
      <c r="D6" s="127">
        <v>300</v>
      </c>
      <c r="F6" s="120"/>
      <c r="G6" s="120"/>
    </row>
    <row r="7" spans="1:9" x14ac:dyDescent="0.2">
      <c r="B7" s="126" t="s">
        <v>117</v>
      </c>
      <c r="C7" s="138"/>
      <c r="D7" s="132"/>
      <c r="F7" s="120"/>
      <c r="G7" s="120"/>
    </row>
    <row r="8" spans="1:9" x14ac:dyDescent="0.2">
      <c r="B8" s="126" t="s">
        <v>115</v>
      </c>
      <c r="C8" s="128"/>
      <c r="D8" s="132"/>
      <c r="F8" s="120"/>
      <c r="G8" s="120"/>
    </row>
    <row r="9" spans="1:9" x14ac:dyDescent="0.2">
      <c r="B9" s="126" t="s">
        <v>113</v>
      </c>
      <c r="C9" s="128"/>
      <c r="D9" s="132"/>
      <c r="F9" s="120"/>
      <c r="G9" s="120"/>
    </row>
    <row r="10" spans="1:9" x14ac:dyDescent="0.2">
      <c r="B10" s="123" t="s">
        <v>232</v>
      </c>
      <c r="C10" s="137">
        <f>SUM(C6:C9)</f>
        <v>500</v>
      </c>
      <c r="D10" s="136">
        <f>SUM(D6:D9)</f>
        <v>300</v>
      </c>
      <c r="F10" s="120"/>
      <c r="G10" s="120"/>
    </row>
    <row r="11" spans="1:9" ht="13.5" thickBot="1" x14ac:dyDescent="0.25">
      <c r="B11" s="119"/>
      <c r="C11" s="118"/>
      <c r="D11" s="118"/>
      <c r="F11" s="120"/>
      <c r="G11" s="120"/>
    </row>
    <row r="12" spans="1:9" ht="14.25" x14ac:dyDescent="0.2">
      <c r="B12" s="130" t="s">
        <v>111</v>
      </c>
      <c r="C12" s="116" t="s">
        <v>238</v>
      </c>
      <c r="D12" s="115" t="s">
        <v>237</v>
      </c>
      <c r="F12" s="120"/>
      <c r="G12" s="120"/>
    </row>
    <row r="13" spans="1:9" x14ac:dyDescent="0.2">
      <c r="B13" s="126" t="s">
        <v>109</v>
      </c>
      <c r="C13" s="128">
        <v>200</v>
      </c>
      <c r="D13" s="127">
        <v>500</v>
      </c>
      <c r="F13" s="120"/>
      <c r="G13" s="120"/>
    </row>
    <row r="14" spans="1:9" x14ac:dyDescent="0.2">
      <c r="B14" s="126" t="s">
        <v>107</v>
      </c>
      <c r="C14" s="128"/>
      <c r="D14" s="132"/>
      <c r="F14" s="120"/>
      <c r="G14" s="120"/>
    </row>
    <row r="15" spans="1:9" x14ac:dyDescent="0.2">
      <c r="B15" s="126" t="s">
        <v>105</v>
      </c>
      <c r="C15" s="128"/>
      <c r="D15" s="132"/>
      <c r="F15" s="120"/>
      <c r="G15" s="120"/>
    </row>
    <row r="16" spans="1:9" x14ac:dyDescent="0.2">
      <c r="B16" s="126" t="s">
        <v>103</v>
      </c>
      <c r="C16" s="128"/>
      <c r="D16" s="132"/>
      <c r="F16" s="120"/>
      <c r="G16" s="120"/>
    </row>
    <row r="17" spans="2:7" x14ac:dyDescent="0.2">
      <c r="B17" s="126" t="s">
        <v>101</v>
      </c>
      <c r="C17" s="128"/>
      <c r="D17" s="132"/>
      <c r="F17" s="120"/>
      <c r="G17" s="120"/>
    </row>
    <row r="18" spans="2:7" x14ac:dyDescent="0.2">
      <c r="B18" s="123" t="s">
        <v>232</v>
      </c>
      <c r="C18" s="122">
        <f>SUM(C13:C17)</f>
        <v>200</v>
      </c>
      <c r="D18" s="131">
        <f>SUM(D13:D17)</f>
        <v>500</v>
      </c>
      <c r="F18" s="120"/>
      <c r="G18" s="120"/>
    </row>
    <row r="19" spans="2:7" ht="13.5" thickBot="1" x14ac:dyDescent="0.25">
      <c r="B19" s="119"/>
      <c r="C19" s="118"/>
      <c r="D19" s="118"/>
      <c r="F19" s="120"/>
      <c r="G19" s="120"/>
    </row>
    <row r="20" spans="2:7" ht="14.25" x14ac:dyDescent="0.2">
      <c r="B20" s="130" t="s">
        <v>100</v>
      </c>
      <c r="C20" s="116" t="s">
        <v>241</v>
      </c>
      <c r="D20" s="115" t="s">
        <v>240</v>
      </c>
      <c r="F20" s="120"/>
      <c r="G20" s="120"/>
    </row>
    <row r="21" spans="2:7" x14ac:dyDescent="0.2">
      <c r="B21" s="126" t="s">
        <v>98</v>
      </c>
      <c r="C21" s="128">
        <v>500</v>
      </c>
      <c r="D21" s="127">
        <v>800</v>
      </c>
      <c r="F21" s="120"/>
      <c r="G21" s="120"/>
    </row>
    <row r="22" spans="2:7" x14ac:dyDescent="0.2">
      <c r="B22" s="126" t="s">
        <v>96</v>
      </c>
      <c r="C22" s="128"/>
      <c r="D22" s="132"/>
      <c r="F22" s="120"/>
      <c r="G22" s="120"/>
    </row>
    <row r="23" spans="2:7" x14ac:dyDescent="0.2">
      <c r="B23" s="126" t="s">
        <v>94</v>
      </c>
      <c r="C23" s="128"/>
      <c r="D23" s="132"/>
      <c r="F23" s="120"/>
      <c r="G23" s="120"/>
    </row>
    <row r="24" spans="2:7" x14ac:dyDescent="0.2">
      <c r="B24" s="123" t="s">
        <v>232</v>
      </c>
      <c r="C24" s="122">
        <f>SUM(C21:C23)</f>
        <v>500</v>
      </c>
      <c r="D24" s="131">
        <f>SUM(D21:D23)</f>
        <v>800</v>
      </c>
      <c r="F24" s="120"/>
      <c r="G24" s="120"/>
    </row>
    <row r="25" spans="2:7" ht="13.5" thickBot="1" x14ac:dyDescent="0.25">
      <c r="B25" s="119"/>
      <c r="C25" s="118"/>
      <c r="D25" s="118"/>
      <c r="F25" s="135"/>
      <c r="G25" s="135"/>
    </row>
    <row r="26" spans="2:7" ht="15" thickBot="1" x14ac:dyDescent="0.25">
      <c r="B26" s="130" t="s">
        <v>93</v>
      </c>
      <c r="C26" s="116" t="s">
        <v>238</v>
      </c>
      <c r="D26" s="115" t="s">
        <v>237</v>
      </c>
      <c r="F26" s="134" t="s">
        <v>239</v>
      </c>
      <c r="G26" s="133"/>
    </row>
    <row r="27" spans="2:7" x14ac:dyDescent="0.2">
      <c r="B27" s="126" t="s">
        <v>92</v>
      </c>
      <c r="C27" s="128">
        <v>500</v>
      </c>
      <c r="D27" s="127">
        <v>600</v>
      </c>
      <c r="F27" s="120"/>
      <c r="G27" s="120"/>
    </row>
    <row r="28" spans="2:7" x14ac:dyDescent="0.2">
      <c r="B28" s="126" t="s">
        <v>61</v>
      </c>
      <c r="C28" s="128"/>
      <c r="D28" s="132"/>
      <c r="F28" s="120"/>
      <c r="G28" s="120"/>
    </row>
    <row r="29" spans="2:7" x14ac:dyDescent="0.2">
      <c r="B29" s="126" t="s">
        <v>91</v>
      </c>
      <c r="C29" s="128"/>
      <c r="D29" s="132"/>
      <c r="F29" s="120"/>
      <c r="G29" s="120"/>
    </row>
    <row r="30" spans="2:7" x14ac:dyDescent="0.2">
      <c r="B30" s="126" t="s">
        <v>90</v>
      </c>
      <c r="C30" s="128"/>
      <c r="D30" s="132"/>
      <c r="F30" s="120"/>
      <c r="G30" s="120"/>
    </row>
    <row r="31" spans="2:7" x14ac:dyDescent="0.2">
      <c r="B31" s="123" t="s">
        <v>232</v>
      </c>
      <c r="C31" s="122">
        <f>SUM(C27:C30)</f>
        <v>500</v>
      </c>
      <c r="D31" s="131">
        <f>SUM(D27:D30)</f>
        <v>600</v>
      </c>
      <c r="F31" s="120"/>
      <c r="G31" s="120"/>
    </row>
    <row r="32" spans="2:7" ht="13.5" thickBot="1" x14ac:dyDescent="0.25">
      <c r="B32" s="119"/>
      <c r="C32" s="118"/>
      <c r="D32" s="118"/>
      <c r="F32" s="120"/>
      <c r="G32" s="120"/>
    </row>
    <row r="33" spans="2:7" ht="14.25" x14ac:dyDescent="0.2">
      <c r="B33" s="130" t="s">
        <v>119</v>
      </c>
      <c r="C33" s="116" t="s">
        <v>238</v>
      </c>
      <c r="D33" s="115" t="s">
        <v>237</v>
      </c>
      <c r="F33" s="120"/>
      <c r="G33" s="120"/>
    </row>
    <row r="34" spans="2:7" x14ac:dyDescent="0.2">
      <c r="B34" s="129" t="s">
        <v>41</v>
      </c>
      <c r="C34" s="128">
        <v>600</v>
      </c>
      <c r="D34" s="127">
        <v>800</v>
      </c>
      <c r="F34" s="120"/>
      <c r="G34" s="120"/>
    </row>
    <row r="35" spans="2:7" x14ac:dyDescent="0.2">
      <c r="B35" s="126" t="s">
        <v>116</v>
      </c>
      <c r="C35" s="128"/>
      <c r="D35" s="132"/>
      <c r="F35" s="120"/>
      <c r="G35" s="120"/>
    </row>
    <row r="36" spans="2:7" x14ac:dyDescent="0.2">
      <c r="B36" s="126" t="s">
        <v>114</v>
      </c>
      <c r="C36" s="128"/>
      <c r="D36" s="132"/>
      <c r="F36" s="120"/>
      <c r="G36" s="120"/>
    </row>
    <row r="37" spans="2:7" x14ac:dyDescent="0.2">
      <c r="B37" s="126" t="s">
        <v>112</v>
      </c>
      <c r="C37" s="128"/>
      <c r="D37" s="132"/>
      <c r="F37" s="120"/>
      <c r="G37" s="120"/>
    </row>
    <row r="38" spans="2:7" x14ac:dyDescent="0.2">
      <c r="B38" s="123" t="s">
        <v>232</v>
      </c>
      <c r="C38" s="122">
        <f>SUM(C34:C37)</f>
        <v>600</v>
      </c>
      <c r="D38" s="131">
        <f>SUM(D34:D37)</f>
        <v>800</v>
      </c>
      <c r="F38" s="120"/>
      <c r="G38" s="120"/>
    </row>
    <row r="39" spans="2:7" ht="13.5" thickBot="1" x14ac:dyDescent="0.25">
      <c r="B39" s="119"/>
      <c r="C39" s="118"/>
      <c r="D39" s="118"/>
      <c r="F39" s="120"/>
      <c r="G39" s="120"/>
    </row>
    <row r="40" spans="2:7" ht="14.25" x14ac:dyDescent="0.2">
      <c r="B40" s="130" t="s">
        <v>110</v>
      </c>
      <c r="C40" s="116" t="s">
        <v>236</v>
      </c>
      <c r="D40" s="115" t="s">
        <v>235</v>
      </c>
      <c r="F40" s="120"/>
      <c r="G40" s="120"/>
    </row>
    <row r="41" spans="2:7" x14ac:dyDescent="0.2">
      <c r="B41" s="129" t="s">
        <v>108</v>
      </c>
      <c r="C41" s="128">
        <v>300</v>
      </c>
      <c r="D41" s="127">
        <v>500</v>
      </c>
      <c r="F41" s="120"/>
      <c r="G41" s="120"/>
    </row>
    <row r="42" spans="2:7" x14ac:dyDescent="0.2">
      <c r="B42" s="126" t="s">
        <v>106</v>
      </c>
      <c r="C42" s="128"/>
      <c r="D42" s="132"/>
      <c r="F42" s="120"/>
      <c r="G42" s="120"/>
    </row>
    <row r="43" spans="2:7" x14ac:dyDescent="0.2">
      <c r="B43" s="126" t="s">
        <v>104</v>
      </c>
      <c r="C43" s="128"/>
      <c r="D43" s="132"/>
      <c r="F43" s="120"/>
      <c r="G43" s="120"/>
    </row>
    <row r="44" spans="2:7" x14ac:dyDescent="0.2">
      <c r="B44" s="126" t="s">
        <v>102</v>
      </c>
      <c r="C44" s="128"/>
      <c r="D44" s="132"/>
      <c r="F44" s="120"/>
      <c r="G44" s="120"/>
    </row>
    <row r="45" spans="2:7" x14ac:dyDescent="0.2">
      <c r="B45" s="126" t="s">
        <v>1</v>
      </c>
      <c r="C45" s="128"/>
      <c r="D45" s="132"/>
      <c r="F45" s="120"/>
      <c r="G45" s="120"/>
    </row>
    <row r="46" spans="2:7" x14ac:dyDescent="0.2">
      <c r="B46" s="123" t="s">
        <v>232</v>
      </c>
      <c r="C46" s="122">
        <f>SUM(C41:C45)</f>
        <v>300</v>
      </c>
      <c r="D46" s="131">
        <f>SUM(D41:D45)</f>
        <v>500</v>
      </c>
      <c r="F46" s="120"/>
      <c r="G46" s="120"/>
    </row>
    <row r="47" spans="2:7" ht="13.5" thickBot="1" x14ac:dyDescent="0.25">
      <c r="B47" s="119"/>
      <c r="C47" s="118"/>
      <c r="D47" s="118"/>
      <c r="F47" s="120"/>
      <c r="G47" s="120"/>
    </row>
    <row r="48" spans="2:7" ht="14.25" x14ac:dyDescent="0.2">
      <c r="B48" s="130" t="s">
        <v>99</v>
      </c>
      <c r="C48" s="116" t="s">
        <v>234</v>
      </c>
      <c r="D48" s="115" t="s">
        <v>233</v>
      </c>
      <c r="F48" s="120"/>
      <c r="G48" s="120"/>
    </row>
    <row r="49" spans="1:9" x14ac:dyDescent="0.2">
      <c r="B49" s="129" t="s">
        <v>97</v>
      </c>
      <c r="C49" s="128">
        <v>200</v>
      </c>
      <c r="D49" s="127">
        <v>300</v>
      </c>
      <c r="F49" s="120"/>
      <c r="G49" s="120"/>
    </row>
    <row r="50" spans="1:9" x14ac:dyDescent="0.2">
      <c r="B50" s="126" t="s">
        <v>95</v>
      </c>
      <c r="C50" s="125"/>
      <c r="D50" s="124"/>
      <c r="F50" s="120"/>
      <c r="G50" s="120"/>
    </row>
    <row r="51" spans="1:9" x14ac:dyDescent="0.2">
      <c r="B51" s="123" t="s">
        <v>232</v>
      </c>
      <c r="C51" s="122">
        <f>SUM(C49:C50)</f>
        <v>200</v>
      </c>
      <c r="D51" s="121">
        <f>SUM(D49:D50)</f>
        <v>300</v>
      </c>
      <c r="F51" s="120"/>
      <c r="G51" s="120"/>
    </row>
    <row r="52" spans="1:9" ht="13.5" thickBot="1" x14ac:dyDescent="0.25">
      <c r="B52" s="119"/>
      <c r="C52" s="118"/>
      <c r="D52" s="118"/>
    </row>
    <row r="53" spans="1:9" ht="15" thickBot="1" x14ac:dyDescent="0.25">
      <c r="B53" s="117" t="s">
        <v>231</v>
      </c>
      <c r="C53" s="116" t="s">
        <v>230</v>
      </c>
      <c r="D53" s="115" t="s">
        <v>229</v>
      </c>
    </row>
    <row r="54" spans="1:9" ht="21" customHeight="1" x14ac:dyDescent="0.2">
      <c r="B54" s="114"/>
      <c r="C54" s="113">
        <f>SUM(C10,C18,C24,C31,C38,C46,C51)</f>
        <v>2800</v>
      </c>
      <c r="D54" s="112">
        <f>SUM(D10+D18+D24+D31+D38+D46+D51)</f>
        <v>3800</v>
      </c>
    </row>
    <row r="56" spans="1:9" ht="3.95" customHeight="1" x14ac:dyDescent="0.2">
      <c r="A56" s="111"/>
      <c r="B56" s="111"/>
      <c r="C56" s="111"/>
      <c r="D56" s="111"/>
      <c r="E56" s="111"/>
      <c r="F56" s="111"/>
      <c r="G56" s="111"/>
      <c r="H56" s="111"/>
      <c r="I56" s="111"/>
    </row>
  </sheetData>
  <mergeCells count="2">
    <mergeCell ref="B3:H3"/>
    <mergeCell ref="B2:E2"/>
  </mergeCells>
  <printOptions horizontalCentered="1"/>
  <pageMargins left="0.75" right="0.75" top="1" bottom="1" header="0.5" footer="0.5"/>
  <pageSetup scale="85"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G137"/>
  <sheetViews>
    <sheetView showGridLines="0" zoomScaleNormal="100" workbookViewId="0"/>
  </sheetViews>
  <sheetFormatPr defaultRowHeight="26.25" customHeight="1" x14ac:dyDescent="0.2"/>
  <cols>
    <col min="1" max="1" width="2.7109375" style="1" customWidth="1"/>
    <col min="2" max="2" width="32.42578125" style="1" customWidth="1"/>
    <col min="3" max="3" width="37" style="3" customWidth="1"/>
    <col min="4" max="6" width="17.28515625" style="2" customWidth="1"/>
    <col min="7" max="7" width="2.7109375" style="1" customWidth="1"/>
    <col min="8" max="16384" width="9.140625" style="1"/>
  </cols>
  <sheetData>
    <row r="1" spans="2:7" ht="26.25" customHeight="1" x14ac:dyDescent="0.4">
      <c r="C1" s="17"/>
      <c r="F1" s="16"/>
      <c r="G1" s="1" t="s">
        <v>78</v>
      </c>
    </row>
    <row r="2" spans="2:7" ht="26.25" customHeight="1" x14ac:dyDescent="0.2">
      <c r="C2" s="15"/>
      <c r="G2" s="1" t="s">
        <v>78</v>
      </c>
    </row>
    <row r="6" spans="2:7" ht="26.25" customHeight="1" x14ac:dyDescent="0.2">
      <c r="G6" s="1" t="s">
        <v>78</v>
      </c>
    </row>
    <row r="9" spans="2:7" ht="26.25" customHeight="1" x14ac:dyDescent="0.2">
      <c r="G9" s="1" t="s">
        <v>78</v>
      </c>
    </row>
    <row r="12" spans="2:7" ht="26.25" customHeight="1" x14ac:dyDescent="0.2">
      <c r="B12" s="11" t="s">
        <v>83</v>
      </c>
      <c r="C12" s="8" t="s">
        <v>82</v>
      </c>
      <c r="D12" s="10" t="s">
        <v>7</v>
      </c>
      <c r="E12" s="10" t="s">
        <v>6</v>
      </c>
      <c r="F12" s="10" t="s">
        <v>5</v>
      </c>
    </row>
    <row r="13" spans="2:7" ht="26.25" customHeight="1" x14ac:dyDescent="0.2">
      <c r="B13" s="9"/>
      <c r="C13" s="6" t="s">
        <v>81</v>
      </c>
      <c r="D13" s="5">
        <f>SUM(Income[Projected])</f>
        <v>5600</v>
      </c>
      <c r="E13" s="5">
        <f>SUM(Income[Actual])</f>
        <v>4700</v>
      </c>
      <c r="F13" s="5">
        <f>SUM(Income[Variance])</f>
        <v>-900</v>
      </c>
    </row>
    <row r="14" spans="2:7" ht="26.25" customHeight="1" x14ac:dyDescent="0.2">
      <c r="B14" s="9"/>
      <c r="C14" s="6" t="s">
        <v>80</v>
      </c>
      <c r="D14" s="5">
        <f>totalExpenseProjected</f>
        <v>1195</v>
      </c>
      <c r="E14" s="5">
        <f>totalExpenseActual</f>
        <v>737</v>
      </c>
      <c r="F14" s="5">
        <f>CashFlow[[#This Row],[Projected]]-CashFlow[[#This Row],[Actual]]</f>
        <v>458</v>
      </c>
    </row>
    <row r="15" spans="2:7" ht="26.25" customHeight="1" x14ac:dyDescent="0.2">
      <c r="B15" s="9"/>
      <c r="C15" s="14" t="s">
        <v>79</v>
      </c>
      <c r="D15" s="13">
        <f>D13-D14</f>
        <v>4405</v>
      </c>
      <c r="E15" s="13">
        <f>E13-E14</f>
        <v>3963</v>
      </c>
      <c r="F15" s="13">
        <f>CashFlow[[#This Row],[Actual]]-CashFlow[[#This Row],[Projected]]</f>
        <v>-442</v>
      </c>
    </row>
    <row r="16" spans="2:7" ht="26.25" customHeight="1" x14ac:dyDescent="0.2">
      <c r="B16" s="12"/>
      <c r="C16" s="12"/>
      <c r="D16" s="12"/>
      <c r="E16" s="12"/>
      <c r="F16" s="12"/>
    </row>
    <row r="17" spans="2:6" ht="26.25" customHeight="1" x14ac:dyDescent="0.2">
      <c r="B17" s="11" t="s">
        <v>78</v>
      </c>
      <c r="C17" s="8" t="s">
        <v>77</v>
      </c>
      <c r="D17" s="10" t="s">
        <v>7</v>
      </c>
      <c r="E17" s="10" t="s">
        <v>6</v>
      </c>
      <c r="F17" s="10" t="s">
        <v>5</v>
      </c>
    </row>
    <row r="18" spans="2:6" ht="26.25" customHeight="1" x14ac:dyDescent="0.2">
      <c r="B18" s="9"/>
      <c r="C18" s="6" t="s">
        <v>76</v>
      </c>
      <c r="D18" s="5">
        <v>4000</v>
      </c>
      <c r="E18" s="5">
        <v>3000</v>
      </c>
      <c r="F18" s="5">
        <f>Income[[#This Row],[Actual]]-Income[[#This Row],[Projected]]</f>
        <v>-1000</v>
      </c>
    </row>
    <row r="19" spans="2:6" ht="26.25" customHeight="1" x14ac:dyDescent="0.2">
      <c r="B19" s="9"/>
      <c r="C19" s="6" t="s">
        <v>75</v>
      </c>
      <c r="D19" s="5">
        <v>1300</v>
      </c>
      <c r="E19" s="5">
        <v>1400</v>
      </c>
      <c r="F19" s="5">
        <f>Income[[#This Row],[Actual]]-Income[[#This Row],[Projected]]</f>
        <v>100</v>
      </c>
    </row>
    <row r="20" spans="2:6" ht="26.25" customHeight="1" x14ac:dyDescent="0.2">
      <c r="B20" s="9"/>
      <c r="C20" s="6" t="s">
        <v>74</v>
      </c>
      <c r="D20" s="5">
        <v>300</v>
      </c>
      <c r="E20" s="5">
        <v>300</v>
      </c>
      <c r="F20" s="5">
        <f>Income[[#This Row],[Actual]]-Income[[#This Row],[Projected]]</f>
        <v>0</v>
      </c>
    </row>
    <row r="21" spans="2:6" ht="26.25" customHeight="1" x14ac:dyDescent="0.2">
      <c r="B21" s="9"/>
      <c r="C21" s="6" t="s">
        <v>1</v>
      </c>
      <c r="D21" s="5"/>
      <c r="E21" s="5"/>
      <c r="F21" s="5">
        <f>Income[[#This Row],[Actual]]-Income[[#This Row],[Projected]]</f>
        <v>0</v>
      </c>
    </row>
    <row r="22" spans="2:6" ht="26.25" customHeight="1" x14ac:dyDescent="0.2">
      <c r="B22" s="9"/>
      <c r="C22" s="6" t="s">
        <v>73</v>
      </c>
      <c r="D22" s="5">
        <f>SUBTOTAL(109,Income[Projected])</f>
        <v>5600</v>
      </c>
      <c r="E22" s="5">
        <f>SUBTOTAL(109,Income[Actual])</f>
        <v>4700</v>
      </c>
      <c r="F22" s="5">
        <f>SUBTOTAL(109,Income[Variance])</f>
        <v>-900</v>
      </c>
    </row>
    <row r="23" spans="2:6" ht="26.25" customHeight="1" x14ac:dyDescent="0.2">
      <c r="B23" s="4"/>
      <c r="C23" s="4"/>
      <c r="D23" s="4"/>
      <c r="E23" s="4"/>
      <c r="F23" s="4"/>
    </row>
    <row r="24" spans="2:6" ht="26.25" customHeight="1" x14ac:dyDescent="0.2">
      <c r="C24" s="8" t="s">
        <v>72</v>
      </c>
      <c r="D24" s="7" t="s">
        <v>7</v>
      </c>
      <c r="E24" s="7" t="s">
        <v>6</v>
      </c>
      <c r="F24" s="7" t="s">
        <v>5</v>
      </c>
    </row>
    <row r="25" spans="2:6" ht="26.25" customHeight="1" x14ac:dyDescent="0.2">
      <c r="C25" s="6" t="s">
        <v>71</v>
      </c>
      <c r="D25" s="5">
        <v>1000</v>
      </c>
      <c r="E25" s="5">
        <v>500</v>
      </c>
      <c r="F25" s="5">
        <f>Housing[[#This Row],[Projected]]-Housing[[#This Row],[Actual]]</f>
        <v>500</v>
      </c>
    </row>
    <row r="26" spans="2:6" ht="26.25" customHeight="1" x14ac:dyDescent="0.2">
      <c r="C26" s="6" t="s">
        <v>70</v>
      </c>
      <c r="D26" s="5">
        <v>0</v>
      </c>
      <c r="E26" s="5">
        <v>0</v>
      </c>
      <c r="F26" s="5">
        <f>Housing[[#This Row],[Projected]]-Housing[[#This Row],[Actual]]</f>
        <v>0</v>
      </c>
    </row>
    <row r="27" spans="2:6" ht="26.25" customHeight="1" x14ac:dyDescent="0.2">
      <c r="C27" s="6" t="s">
        <v>69</v>
      </c>
      <c r="D27" s="5">
        <v>54</v>
      </c>
      <c r="E27" s="5">
        <v>100</v>
      </c>
      <c r="F27" s="5">
        <f>Housing[[#This Row],[Projected]]-Housing[[#This Row],[Actual]]</f>
        <v>-46</v>
      </c>
    </row>
    <row r="28" spans="2:6" ht="26.25" customHeight="1" x14ac:dyDescent="0.2">
      <c r="C28" s="6" t="s">
        <v>68</v>
      </c>
      <c r="D28" s="5">
        <v>44</v>
      </c>
      <c r="E28" s="5">
        <v>56</v>
      </c>
      <c r="F28" s="5">
        <f>Housing[[#This Row],[Projected]]-Housing[[#This Row],[Actual]]</f>
        <v>-12</v>
      </c>
    </row>
    <row r="29" spans="2:6" ht="26.25" customHeight="1" x14ac:dyDescent="0.2">
      <c r="C29" s="6" t="s">
        <v>67</v>
      </c>
      <c r="D29" s="5">
        <v>22</v>
      </c>
      <c r="E29" s="5">
        <v>28</v>
      </c>
      <c r="F29" s="5">
        <f>Housing[[#This Row],[Projected]]-Housing[[#This Row],[Actual]]</f>
        <v>-6</v>
      </c>
    </row>
    <row r="30" spans="2:6" ht="26.25" customHeight="1" x14ac:dyDescent="0.2">
      <c r="C30" s="6" t="s">
        <v>66</v>
      </c>
      <c r="D30" s="5">
        <v>8</v>
      </c>
      <c r="E30" s="5">
        <v>8</v>
      </c>
      <c r="F30" s="5">
        <f>Housing[[#This Row],[Projected]]-Housing[[#This Row],[Actual]]</f>
        <v>0</v>
      </c>
    </row>
    <row r="31" spans="2:6" ht="26.25" customHeight="1" x14ac:dyDescent="0.2">
      <c r="C31" s="6" t="s">
        <v>65</v>
      </c>
      <c r="D31" s="5">
        <v>34</v>
      </c>
      <c r="E31" s="5">
        <v>34</v>
      </c>
      <c r="F31" s="5">
        <f>Housing[[#This Row],[Projected]]-Housing[[#This Row],[Actual]]</f>
        <v>0</v>
      </c>
    </row>
    <row r="32" spans="2:6" ht="26.25" customHeight="1" x14ac:dyDescent="0.2">
      <c r="C32" s="6" t="s">
        <v>64</v>
      </c>
      <c r="D32" s="5">
        <v>10</v>
      </c>
      <c r="E32" s="5">
        <v>10</v>
      </c>
      <c r="F32" s="5">
        <f>Housing[[#This Row],[Projected]]-Housing[[#This Row],[Actual]]</f>
        <v>0</v>
      </c>
    </row>
    <row r="33" spans="3:6" ht="26.25" customHeight="1" x14ac:dyDescent="0.2">
      <c r="C33" s="6" t="s">
        <v>63</v>
      </c>
      <c r="D33" s="5">
        <v>23</v>
      </c>
      <c r="E33" s="5">
        <v>0</v>
      </c>
      <c r="F33" s="5">
        <f>Housing[[#This Row],[Projected]]-Housing[[#This Row],[Actual]]</f>
        <v>23</v>
      </c>
    </row>
    <row r="34" spans="3:6" ht="26.25" customHeight="1" x14ac:dyDescent="0.2">
      <c r="C34" s="6" t="s">
        <v>62</v>
      </c>
      <c r="D34" s="5">
        <v>0</v>
      </c>
      <c r="E34" s="5">
        <v>0</v>
      </c>
      <c r="F34" s="5">
        <f>Housing[[#This Row],[Projected]]-Housing[[#This Row],[Actual]]</f>
        <v>0</v>
      </c>
    </row>
    <row r="35" spans="3:6" ht="26.25" customHeight="1" x14ac:dyDescent="0.2">
      <c r="C35" s="6" t="s">
        <v>1</v>
      </c>
      <c r="D35" s="5">
        <v>0</v>
      </c>
      <c r="E35" s="5">
        <v>0</v>
      </c>
      <c r="F35" s="5">
        <f>Housing[[#This Row],[Projected]]-Housing[[#This Row],[Actual]]</f>
        <v>0</v>
      </c>
    </row>
    <row r="36" spans="3:6" ht="26.25" customHeight="1" x14ac:dyDescent="0.2">
      <c r="C36" s="6" t="s">
        <v>0</v>
      </c>
      <c r="D36" s="5">
        <f>SUBTOTAL(109,Housing[Projected])</f>
        <v>1195</v>
      </c>
      <c r="E36" s="5">
        <f>SUBTOTAL(109,Housing[Actual])</f>
        <v>736</v>
      </c>
      <c r="F36" s="5">
        <f>SUBTOTAL(109,Housing[Variance])</f>
        <v>459</v>
      </c>
    </row>
    <row r="37" spans="3:6" ht="26.25" customHeight="1" x14ac:dyDescent="0.2">
      <c r="C37" s="4"/>
      <c r="D37" s="4"/>
      <c r="E37" s="4"/>
      <c r="F37" s="4"/>
    </row>
    <row r="38" spans="3:6" ht="26.25" customHeight="1" x14ac:dyDescent="0.2">
      <c r="C38" s="8" t="s">
        <v>61</v>
      </c>
      <c r="D38" s="7" t="s">
        <v>7</v>
      </c>
      <c r="E38" s="7" t="s">
        <v>6</v>
      </c>
      <c r="F38" s="7" t="s">
        <v>5</v>
      </c>
    </row>
    <row r="39" spans="3:6" ht="26.25" customHeight="1" x14ac:dyDescent="0.2">
      <c r="C39" s="6" t="s">
        <v>60</v>
      </c>
      <c r="D39" s="5"/>
      <c r="E39" s="5">
        <v>1</v>
      </c>
      <c r="F39" s="5">
        <f>Transportation[[#This Row],[Projected]]-Transportation[[#This Row],[Actual]]</f>
        <v>-1</v>
      </c>
    </row>
    <row r="40" spans="3:6" ht="26.25" customHeight="1" x14ac:dyDescent="0.2">
      <c r="C40" s="6" t="s">
        <v>59</v>
      </c>
      <c r="D40" s="5"/>
      <c r="E40" s="5"/>
      <c r="F40" s="5">
        <f>Transportation[[#This Row],[Projected]]-Transportation[[#This Row],[Actual]]</f>
        <v>0</v>
      </c>
    </row>
    <row r="41" spans="3:6" ht="26.25" customHeight="1" x14ac:dyDescent="0.2">
      <c r="C41" s="6" t="s">
        <v>58</v>
      </c>
      <c r="D41" s="5"/>
      <c r="E41" s="5"/>
      <c r="F41" s="5">
        <f>Transportation[[#This Row],[Projected]]-Transportation[[#This Row],[Actual]]</f>
        <v>0</v>
      </c>
    </row>
    <row r="42" spans="3:6" ht="26.25" customHeight="1" x14ac:dyDescent="0.2">
      <c r="C42" s="6" t="s">
        <v>54</v>
      </c>
      <c r="D42" s="5"/>
      <c r="E42" s="5"/>
      <c r="F42" s="5">
        <f>Transportation[[#This Row],[Projected]]-Transportation[[#This Row],[Actual]]</f>
        <v>0</v>
      </c>
    </row>
    <row r="43" spans="3:6" ht="26.25" customHeight="1" x14ac:dyDescent="0.2">
      <c r="C43" s="6" t="s">
        <v>57</v>
      </c>
      <c r="D43" s="5"/>
      <c r="E43" s="5"/>
      <c r="F43" s="5">
        <f>Transportation[[#This Row],[Projected]]-Transportation[[#This Row],[Actual]]</f>
        <v>0</v>
      </c>
    </row>
    <row r="44" spans="3:6" ht="26.25" customHeight="1" x14ac:dyDescent="0.2">
      <c r="C44" s="6" t="s">
        <v>56</v>
      </c>
      <c r="D44" s="5"/>
      <c r="E44" s="5"/>
      <c r="F44" s="5">
        <f>Transportation[[#This Row],[Projected]]-Transportation[[#This Row],[Actual]]</f>
        <v>0</v>
      </c>
    </row>
    <row r="45" spans="3:6" ht="26.25" customHeight="1" x14ac:dyDescent="0.2">
      <c r="C45" s="6" t="s">
        <v>55</v>
      </c>
      <c r="D45" s="5"/>
      <c r="E45" s="5"/>
      <c r="F45" s="5">
        <f>Transportation[[#This Row],[Projected]]-Transportation[[#This Row],[Actual]]</f>
        <v>0</v>
      </c>
    </row>
    <row r="46" spans="3:6" ht="26.25" customHeight="1" x14ac:dyDescent="0.2">
      <c r="C46" s="6" t="s">
        <v>1</v>
      </c>
      <c r="D46" s="5"/>
      <c r="E46" s="5"/>
      <c r="F46" s="5">
        <f>Transportation[[#This Row],[Projected]]-Transportation[[#This Row],[Actual]]</f>
        <v>0</v>
      </c>
    </row>
    <row r="47" spans="3:6" ht="26.25" customHeight="1" x14ac:dyDescent="0.2">
      <c r="C47" s="6" t="s">
        <v>0</v>
      </c>
      <c r="D47" s="5">
        <f>SUBTOTAL(109,Transportation[Projected])</f>
        <v>0</v>
      </c>
      <c r="E47" s="5">
        <f>SUBTOTAL(109,Transportation[Actual])</f>
        <v>1</v>
      </c>
      <c r="F47" s="5">
        <f>SUBTOTAL(109,Transportation[Variance])</f>
        <v>-1</v>
      </c>
    </row>
    <row r="48" spans="3:6" ht="26.25" customHeight="1" x14ac:dyDescent="0.2">
      <c r="C48" s="4"/>
      <c r="D48" s="4"/>
      <c r="E48" s="4"/>
      <c r="F48" s="4"/>
    </row>
    <row r="49" spans="3:6" ht="26.25" customHeight="1" x14ac:dyDescent="0.2">
      <c r="C49" s="8" t="s">
        <v>54</v>
      </c>
      <c r="D49" s="7" t="s">
        <v>7</v>
      </c>
      <c r="E49" s="7" t="s">
        <v>6</v>
      </c>
      <c r="F49" s="7" t="s">
        <v>5</v>
      </c>
    </row>
    <row r="50" spans="3:6" ht="26.25" customHeight="1" x14ac:dyDescent="0.2">
      <c r="C50" s="6" t="s">
        <v>53</v>
      </c>
      <c r="D50" s="5"/>
      <c r="E50" s="5"/>
      <c r="F50" s="5">
        <f>Insurance[[#This Row],[Projected]]-Insurance[[#This Row],[Actual]]</f>
        <v>0</v>
      </c>
    </row>
    <row r="51" spans="3:6" ht="26.25" customHeight="1" x14ac:dyDescent="0.2">
      <c r="C51" s="6" t="s">
        <v>52</v>
      </c>
      <c r="D51" s="5"/>
      <c r="E51" s="5"/>
      <c r="F51" s="5">
        <f>Insurance[[#This Row],[Projected]]-Insurance[[#This Row],[Actual]]</f>
        <v>0</v>
      </c>
    </row>
    <row r="52" spans="3:6" ht="26.25" customHeight="1" x14ac:dyDescent="0.2">
      <c r="C52" s="6" t="s">
        <v>51</v>
      </c>
      <c r="D52" s="5"/>
      <c r="E52" s="5"/>
      <c r="F52" s="5">
        <f>Insurance[[#This Row],[Projected]]-Insurance[[#This Row],[Actual]]</f>
        <v>0</v>
      </c>
    </row>
    <row r="53" spans="3:6" ht="26.25" customHeight="1" x14ac:dyDescent="0.2">
      <c r="C53" s="6" t="s">
        <v>1</v>
      </c>
      <c r="D53" s="5"/>
      <c r="E53" s="5"/>
      <c r="F53" s="5">
        <f>Insurance[[#This Row],[Projected]]-Insurance[[#This Row],[Actual]]</f>
        <v>0</v>
      </c>
    </row>
    <row r="54" spans="3:6" ht="26.25" customHeight="1" x14ac:dyDescent="0.2">
      <c r="C54" s="6" t="s">
        <v>0</v>
      </c>
      <c r="D54" s="5">
        <f>SUBTOTAL(109,Insurance[Projected])</f>
        <v>0</v>
      </c>
      <c r="E54" s="5">
        <f>SUBTOTAL(109,Insurance[Actual])</f>
        <v>0</v>
      </c>
      <c r="F54" s="5">
        <f>SUBTOTAL(109,Insurance[Variance])</f>
        <v>0</v>
      </c>
    </row>
    <row r="55" spans="3:6" ht="26.25" customHeight="1" x14ac:dyDescent="0.2">
      <c r="C55" s="4"/>
      <c r="D55" s="4"/>
      <c r="E55" s="4"/>
      <c r="F55" s="4"/>
    </row>
    <row r="56" spans="3:6" ht="26.25" customHeight="1" x14ac:dyDescent="0.2">
      <c r="C56" s="8" t="s">
        <v>41</v>
      </c>
      <c r="D56" s="7" t="s">
        <v>7</v>
      </c>
      <c r="E56" s="7" t="s">
        <v>6</v>
      </c>
      <c r="F56" s="7" t="s">
        <v>5</v>
      </c>
    </row>
    <row r="57" spans="3:6" ht="26.25" customHeight="1" x14ac:dyDescent="0.2">
      <c r="C57" s="6" t="s">
        <v>50</v>
      </c>
      <c r="D57" s="5"/>
      <c r="E57" s="5"/>
      <c r="F57" s="5">
        <f>Food[[#This Row],[Projected]]-Food[[#This Row],[Actual]]</f>
        <v>0</v>
      </c>
    </row>
    <row r="58" spans="3:6" ht="26.25" customHeight="1" x14ac:dyDescent="0.2">
      <c r="C58" s="6" t="s">
        <v>49</v>
      </c>
      <c r="D58" s="5"/>
      <c r="E58" s="5"/>
      <c r="F58" s="5">
        <f>Food[[#This Row],[Projected]]-Food[[#This Row],[Actual]]</f>
        <v>0</v>
      </c>
    </row>
    <row r="59" spans="3:6" ht="26.25" customHeight="1" x14ac:dyDescent="0.2">
      <c r="C59" s="6" t="s">
        <v>1</v>
      </c>
      <c r="D59" s="5"/>
      <c r="E59" s="5"/>
      <c r="F59" s="5">
        <f>Food[[#This Row],[Projected]]-Food[[#This Row],[Actual]]</f>
        <v>0</v>
      </c>
    </row>
    <row r="60" spans="3:6" ht="26.25" customHeight="1" x14ac:dyDescent="0.2">
      <c r="C60" s="6" t="s">
        <v>0</v>
      </c>
      <c r="D60" s="5">
        <f>SUBTOTAL(109,Food[Projected])</f>
        <v>0</v>
      </c>
      <c r="E60" s="5">
        <f>SUBTOTAL(109,Food[Actual])</f>
        <v>0</v>
      </c>
      <c r="F60" s="5">
        <f>SUBTOTAL(109,Food[Variance])</f>
        <v>0</v>
      </c>
    </row>
    <row r="61" spans="3:6" ht="26.25" customHeight="1" x14ac:dyDescent="0.2">
      <c r="C61" s="4"/>
      <c r="D61" s="4"/>
      <c r="E61" s="4"/>
      <c r="F61" s="4"/>
    </row>
    <row r="62" spans="3:6" ht="26.25" customHeight="1" x14ac:dyDescent="0.2">
      <c r="C62" s="8" t="s">
        <v>48</v>
      </c>
      <c r="D62" s="7" t="s">
        <v>7</v>
      </c>
      <c r="E62" s="7" t="s">
        <v>6</v>
      </c>
      <c r="F62" s="7" t="s">
        <v>5</v>
      </c>
    </row>
    <row r="63" spans="3:6" ht="26.25" customHeight="1" x14ac:dyDescent="0.2">
      <c r="C63" s="6" t="s">
        <v>37</v>
      </c>
      <c r="D63" s="5"/>
      <c r="E63" s="5"/>
      <c r="F63" s="5">
        <f>Children[[#This Row],[Projected]]-Children[[#This Row],[Actual]]</f>
        <v>0</v>
      </c>
    </row>
    <row r="64" spans="3:6" ht="26.25" customHeight="1" x14ac:dyDescent="0.2">
      <c r="C64" s="6" t="s">
        <v>35</v>
      </c>
      <c r="D64" s="5"/>
      <c r="E64" s="5"/>
      <c r="F64" s="5">
        <f>Children[[#This Row],[Projected]]-Children[[#This Row],[Actual]]</f>
        <v>0</v>
      </c>
    </row>
    <row r="65" spans="3:6" ht="26.25" customHeight="1" x14ac:dyDescent="0.2">
      <c r="C65" s="6" t="s">
        <v>47</v>
      </c>
      <c r="D65" s="5"/>
      <c r="E65" s="5"/>
      <c r="F65" s="5">
        <f>Children[[#This Row],[Projected]]-Children[[#This Row],[Actual]]</f>
        <v>0</v>
      </c>
    </row>
    <row r="66" spans="3:6" ht="26.25" customHeight="1" x14ac:dyDescent="0.2">
      <c r="C66" s="6" t="s">
        <v>46</v>
      </c>
      <c r="D66" s="5"/>
      <c r="E66" s="5"/>
      <c r="F66" s="5">
        <f>Children[[#This Row],[Projected]]-Children[[#This Row],[Actual]]</f>
        <v>0</v>
      </c>
    </row>
    <row r="67" spans="3:6" ht="26.25" customHeight="1" x14ac:dyDescent="0.2">
      <c r="C67" s="6" t="s">
        <v>32</v>
      </c>
      <c r="D67" s="5"/>
      <c r="E67" s="5"/>
      <c r="F67" s="5">
        <f>Children[[#This Row],[Projected]]-Children[[#This Row],[Actual]]</f>
        <v>0</v>
      </c>
    </row>
    <row r="68" spans="3:6" ht="26.25" customHeight="1" x14ac:dyDescent="0.2">
      <c r="C68" s="6" t="s">
        <v>45</v>
      </c>
      <c r="D68" s="5"/>
      <c r="E68" s="5"/>
      <c r="F68" s="5">
        <f>Children[[#This Row],[Projected]]-Children[[#This Row],[Actual]]</f>
        <v>0</v>
      </c>
    </row>
    <row r="69" spans="3:6" ht="26.25" customHeight="1" x14ac:dyDescent="0.2">
      <c r="C69" s="6" t="s">
        <v>44</v>
      </c>
      <c r="D69" s="5"/>
      <c r="E69" s="5"/>
      <c r="F69" s="5">
        <f>Children[[#This Row],[Projected]]-Children[[#This Row],[Actual]]</f>
        <v>0</v>
      </c>
    </row>
    <row r="70" spans="3:6" ht="26.25" customHeight="1" x14ac:dyDescent="0.2">
      <c r="C70" s="6" t="s">
        <v>43</v>
      </c>
      <c r="D70" s="5"/>
      <c r="E70" s="5"/>
      <c r="F70" s="5">
        <f>Children[[#This Row],[Projected]]-Children[[#This Row],[Actual]]</f>
        <v>0</v>
      </c>
    </row>
    <row r="71" spans="3:6" ht="26.25" customHeight="1" x14ac:dyDescent="0.2">
      <c r="C71" s="6" t="s">
        <v>1</v>
      </c>
      <c r="D71" s="5"/>
      <c r="E71" s="5"/>
      <c r="F71" s="5">
        <f>Children[[#This Row],[Projected]]-Children[[#This Row],[Actual]]</f>
        <v>0</v>
      </c>
    </row>
    <row r="72" spans="3:6" ht="26.25" customHeight="1" x14ac:dyDescent="0.2">
      <c r="C72" s="6" t="s">
        <v>0</v>
      </c>
      <c r="D72" s="5">
        <f>SUBTOTAL(109,Children[Projected])</f>
        <v>0</v>
      </c>
      <c r="E72" s="5">
        <f>SUBTOTAL(109,Children[Actual])</f>
        <v>0</v>
      </c>
      <c r="F72" s="5">
        <f>SUBTOTAL(109,Children[Variance])</f>
        <v>0</v>
      </c>
    </row>
    <row r="73" spans="3:6" ht="26.25" customHeight="1" x14ac:dyDescent="0.2">
      <c r="C73" s="4"/>
      <c r="D73" s="4"/>
      <c r="E73" s="4"/>
      <c r="F73" s="4"/>
    </row>
    <row r="74" spans="3:6" ht="26.25" customHeight="1" x14ac:dyDescent="0.2">
      <c r="C74" s="8" t="s">
        <v>42</v>
      </c>
      <c r="D74" s="7" t="s">
        <v>7</v>
      </c>
      <c r="E74" s="7" t="s">
        <v>6</v>
      </c>
      <c r="F74" s="7" t="s">
        <v>5</v>
      </c>
    </row>
    <row r="75" spans="3:6" ht="26.25" customHeight="1" x14ac:dyDescent="0.2">
      <c r="C75" s="6" t="s">
        <v>41</v>
      </c>
      <c r="D75" s="5"/>
      <c r="E75" s="5"/>
      <c r="F75" s="5">
        <f>Pets[[#This Row],[Projected]]-Pets[[#This Row],[Actual]]</f>
        <v>0</v>
      </c>
    </row>
    <row r="76" spans="3:6" ht="26.25" customHeight="1" x14ac:dyDescent="0.2">
      <c r="C76" s="6" t="s">
        <v>37</v>
      </c>
      <c r="D76" s="5"/>
      <c r="E76" s="5"/>
      <c r="F76" s="5">
        <f>Pets[[#This Row],[Projected]]-Pets[[#This Row],[Actual]]</f>
        <v>0</v>
      </c>
    </row>
    <row r="77" spans="3:6" ht="26.25" customHeight="1" x14ac:dyDescent="0.2">
      <c r="C77" s="6" t="s">
        <v>40</v>
      </c>
      <c r="D77" s="5"/>
      <c r="E77" s="5"/>
      <c r="F77" s="5">
        <f>Pets[[#This Row],[Projected]]-Pets[[#This Row],[Actual]]</f>
        <v>0</v>
      </c>
    </row>
    <row r="78" spans="3:6" ht="26.25" customHeight="1" x14ac:dyDescent="0.2">
      <c r="C78" s="6" t="s">
        <v>39</v>
      </c>
      <c r="D78" s="5"/>
      <c r="E78" s="5"/>
      <c r="F78" s="5">
        <f>Pets[[#This Row],[Projected]]-Pets[[#This Row],[Actual]]</f>
        <v>0</v>
      </c>
    </row>
    <row r="79" spans="3:6" ht="26.25" customHeight="1" x14ac:dyDescent="0.2">
      <c r="C79" s="6" t="s">
        <v>1</v>
      </c>
      <c r="D79" s="5"/>
      <c r="E79" s="5"/>
      <c r="F79" s="5">
        <f>Pets[[#This Row],[Projected]]-Pets[[#This Row],[Actual]]</f>
        <v>0</v>
      </c>
    </row>
    <row r="80" spans="3:6" ht="26.25" customHeight="1" x14ac:dyDescent="0.2">
      <c r="C80" s="6" t="s">
        <v>0</v>
      </c>
      <c r="D80" s="5">
        <f>SUBTOTAL(109,Pets[Projected])</f>
        <v>0</v>
      </c>
      <c r="E80" s="5">
        <f>SUBTOTAL(109,Pets[Actual])</f>
        <v>0</v>
      </c>
      <c r="F80" s="5">
        <f>SUBTOTAL(109,Pets[Variance])</f>
        <v>0</v>
      </c>
    </row>
    <row r="81" spans="3:6" ht="26.25" customHeight="1" x14ac:dyDescent="0.2">
      <c r="C81" s="4"/>
      <c r="D81" s="4"/>
      <c r="E81" s="4"/>
      <c r="F81" s="4"/>
    </row>
    <row r="82" spans="3:6" ht="26.25" customHeight="1" x14ac:dyDescent="0.2">
      <c r="C82" s="8" t="s">
        <v>38</v>
      </c>
      <c r="D82" s="7" t="s">
        <v>7</v>
      </c>
      <c r="E82" s="7" t="s">
        <v>6</v>
      </c>
      <c r="F82" s="7" t="s">
        <v>5</v>
      </c>
    </row>
    <row r="83" spans="3:6" ht="26.25" customHeight="1" x14ac:dyDescent="0.2">
      <c r="C83" s="6" t="s">
        <v>37</v>
      </c>
      <c r="D83" s="5"/>
      <c r="E83" s="5"/>
      <c r="F83" s="5">
        <f>PersonalCare[[#This Row],[Projected]]-PersonalCare[[#This Row],[Actual]]</f>
        <v>0</v>
      </c>
    </row>
    <row r="84" spans="3:6" ht="26.25" customHeight="1" x14ac:dyDescent="0.2">
      <c r="C84" s="6" t="s">
        <v>36</v>
      </c>
      <c r="D84" s="5"/>
      <c r="E84" s="5"/>
      <c r="F84" s="5">
        <f>PersonalCare[[#This Row],[Projected]]-PersonalCare[[#This Row],[Actual]]</f>
        <v>0</v>
      </c>
    </row>
    <row r="85" spans="3:6" ht="26.25" customHeight="1" x14ac:dyDescent="0.2">
      <c r="C85" s="6" t="s">
        <v>35</v>
      </c>
      <c r="D85" s="5"/>
      <c r="E85" s="5"/>
      <c r="F85" s="5">
        <f>PersonalCare[[#This Row],[Projected]]-PersonalCare[[#This Row],[Actual]]</f>
        <v>0</v>
      </c>
    </row>
    <row r="86" spans="3:6" ht="26.25" customHeight="1" x14ac:dyDescent="0.2">
      <c r="C86" s="6" t="s">
        <v>34</v>
      </c>
      <c r="D86" s="5"/>
      <c r="E86" s="5"/>
      <c r="F86" s="5">
        <f>PersonalCare[[#This Row],[Projected]]-PersonalCare[[#This Row],[Actual]]</f>
        <v>0</v>
      </c>
    </row>
    <row r="87" spans="3:6" ht="26.25" customHeight="1" x14ac:dyDescent="0.2">
      <c r="C87" s="6" t="s">
        <v>33</v>
      </c>
      <c r="D87" s="5"/>
      <c r="E87" s="5"/>
      <c r="F87" s="5">
        <f>PersonalCare[[#This Row],[Projected]]-PersonalCare[[#This Row],[Actual]]</f>
        <v>0</v>
      </c>
    </row>
    <row r="88" spans="3:6" ht="26.25" customHeight="1" x14ac:dyDescent="0.2">
      <c r="C88" s="6" t="s">
        <v>32</v>
      </c>
      <c r="D88" s="5"/>
      <c r="E88" s="5"/>
      <c r="F88" s="5">
        <f>PersonalCare[[#This Row],[Projected]]-PersonalCare[[#This Row],[Actual]]</f>
        <v>0</v>
      </c>
    </row>
    <row r="89" spans="3:6" ht="26.25" customHeight="1" x14ac:dyDescent="0.2">
      <c r="C89" s="6" t="s">
        <v>1</v>
      </c>
      <c r="D89" s="5"/>
      <c r="E89" s="5"/>
      <c r="F89" s="5">
        <f>PersonalCare[[#This Row],[Projected]]-PersonalCare[[#This Row],[Actual]]</f>
        <v>0</v>
      </c>
    </row>
    <row r="90" spans="3:6" ht="26.25" customHeight="1" x14ac:dyDescent="0.2">
      <c r="C90" s="6" t="s">
        <v>0</v>
      </c>
      <c r="D90" s="5">
        <f>SUBTOTAL(109,PersonalCare[Projected])</f>
        <v>0</v>
      </c>
      <c r="E90" s="5">
        <f>SUBTOTAL(109,PersonalCare[Actual])</f>
        <v>0</v>
      </c>
      <c r="F90" s="5">
        <f>SUBTOTAL(109,PersonalCare[Variance])</f>
        <v>0</v>
      </c>
    </row>
    <row r="91" spans="3:6" ht="26.25" customHeight="1" x14ac:dyDescent="0.2">
      <c r="C91" s="4"/>
      <c r="D91" s="4"/>
      <c r="E91" s="4"/>
      <c r="F91" s="4"/>
    </row>
    <row r="92" spans="3:6" ht="26.25" customHeight="1" x14ac:dyDescent="0.2">
      <c r="C92" s="8" t="s">
        <v>31</v>
      </c>
      <c r="D92" s="7" t="s">
        <v>7</v>
      </c>
      <c r="E92" s="7" t="s">
        <v>6</v>
      </c>
      <c r="F92" s="7" t="s">
        <v>5</v>
      </c>
    </row>
    <row r="93" spans="3:6" ht="26.25" customHeight="1" x14ac:dyDescent="0.2">
      <c r="C93" s="6" t="s">
        <v>30</v>
      </c>
      <c r="D93" s="5"/>
      <c r="E93" s="5"/>
      <c r="F93" s="5">
        <f>Entertainment[[#This Row],[Projected]]-Entertainment[[#This Row],[Actual]]</f>
        <v>0</v>
      </c>
    </row>
    <row r="94" spans="3:6" ht="26.25" customHeight="1" x14ac:dyDescent="0.2">
      <c r="C94" s="6" t="s">
        <v>29</v>
      </c>
      <c r="D94" s="5"/>
      <c r="E94" s="5"/>
      <c r="F94" s="5">
        <f>Entertainment[[#This Row],[Projected]]-Entertainment[[#This Row],[Actual]]</f>
        <v>0</v>
      </c>
    </row>
    <row r="95" spans="3:6" ht="26.25" customHeight="1" x14ac:dyDescent="0.2">
      <c r="C95" s="6" t="s">
        <v>28</v>
      </c>
      <c r="D95" s="5"/>
      <c r="E95" s="5"/>
      <c r="F95" s="5">
        <f>Entertainment[[#This Row],[Projected]]-Entertainment[[#This Row],[Actual]]</f>
        <v>0</v>
      </c>
    </row>
    <row r="96" spans="3:6" ht="26.25" customHeight="1" x14ac:dyDescent="0.2">
      <c r="C96" s="6" t="s">
        <v>27</v>
      </c>
      <c r="D96" s="5"/>
      <c r="E96" s="5"/>
      <c r="F96" s="5">
        <f>Entertainment[[#This Row],[Projected]]-Entertainment[[#This Row],[Actual]]</f>
        <v>0</v>
      </c>
    </row>
    <row r="97" spans="3:6" ht="26.25" customHeight="1" x14ac:dyDescent="0.2">
      <c r="C97" s="6" t="s">
        <v>26</v>
      </c>
      <c r="D97" s="5"/>
      <c r="E97" s="5"/>
      <c r="F97" s="5">
        <f>Entertainment[[#This Row],[Projected]]-Entertainment[[#This Row],[Actual]]</f>
        <v>0</v>
      </c>
    </row>
    <row r="98" spans="3:6" ht="26.25" customHeight="1" x14ac:dyDescent="0.2">
      <c r="C98" s="6" t="s">
        <v>25</v>
      </c>
      <c r="D98" s="5"/>
      <c r="E98" s="5"/>
      <c r="F98" s="5">
        <f>Entertainment[[#This Row],[Projected]]-Entertainment[[#This Row],[Actual]]</f>
        <v>0</v>
      </c>
    </row>
    <row r="99" spans="3:6" ht="26.25" customHeight="1" x14ac:dyDescent="0.2">
      <c r="C99" s="6" t="s">
        <v>1</v>
      </c>
      <c r="D99" s="5"/>
      <c r="E99" s="5"/>
      <c r="F99" s="5">
        <f>Entertainment[[#This Row],[Projected]]-Entertainment[[#This Row],[Actual]]</f>
        <v>0</v>
      </c>
    </row>
    <row r="100" spans="3:6" ht="26.25" customHeight="1" x14ac:dyDescent="0.2">
      <c r="C100" s="6" t="s">
        <v>0</v>
      </c>
      <c r="D100" s="5">
        <f>SUBTOTAL(109,Entertainment[Projected])</f>
        <v>0</v>
      </c>
      <c r="E100" s="5">
        <f>SUBTOTAL(109,Entertainment[Actual])</f>
        <v>0</v>
      </c>
      <c r="F100" s="5">
        <f>SUBTOTAL(109,Entertainment[Variance])</f>
        <v>0</v>
      </c>
    </row>
    <row r="101" spans="3:6" ht="26.25" customHeight="1" x14ac:dyDescent="0.2">
      <c r="C101" s="4"/>
      <c r="D101" s="4"/>
      <c r="E101" s="4"/>
      <c r="F101" s="4"/>
    </row>
    <row r="102" spans="3:6" ht="26.25" customHeight="1" x14ac:dyDescent="0.2">
      <c r="C102" s="8" t="s">
        <v>24</v>
      </c>
      <c r="D102" s="7" t="s">
        <v>7</v>
      </c>
      <c r="E102" s="7" t="s">
        <v>6</v>
      </c>
      <c r="F102" s="7" t="s">
        <v>5</v>
      </c>
    </row>
    <row r="103" spans="3:6" ht="26.25" customHeight="1" x14ac:dyDescent="0.2">
      <c r="C103" s="6" t="s">
        <v>23</v>
      </c>
      <c r="D103" s="5"/>
      <c r="E103" s="5"/>
      <c r="F103" s="5">
        <f>Loans[[#This Row],[Projected]]-Loans[[#This Row],[Actual]]</f>
        <v>0</v>
      </c>
    </row>
    <row r="104" spans="3:6" ht="26.25" customHeight="1" x14ac:dyDescent="0.2">
      <c r="C104" s="6" t="s">
        <v>22</v>
      </c>
      <c r="D104" s="5"/>
      <c r="E104" s="5"/>
      <c r="F104" s="5">
        <f>Loans[[#This Row],[Projected]]-Loans[[#This Row],[Actual]]</f>
        <v>0</v>
      </c>
    </row>
    <row r="105" spans="3:6" ht="26.25" customHeight="1" x14ac:dyDescent="0.2">
      <c r="C105" s="6" t="s">
        <v>21</v>
      </c>
      <c r="D105" s="5"/>
      <c r="E105" s="5"/>
      <c r="F105" s="5">
        <f>Loans[[#This Row],[Projected]]-Loans[[#This Row],[Actual]]</f>
        <v>0</v>
      </c>
    </row>
    <row r="106" spans="3:6" ht="26.25" customHeight="1" x14ac:dyDescent="0.2">
      <c r="C106" s="6" t="s">
        <v>21</v>
      </c>
      <c r="D106" s="5"/>
      <c r="E106" s="5"/>
      <c r="F106" s="5">
        <f>Loans[[#This Row],[Projected]]-Loans[[#This Row],[Actual]]</f>
        <v>0</v>
      </c>
    </row>
    <row r="107" spans="3:6" ht="26.25" customHeight="1" x14ac:dyDescent="0.2">
      <c r="C107" s="6" t="s">
        <v>21</v>
      </c>
      <c r="D107" s="5"/>
      <c r="E107" s="5"/>
      <c r="F107" s="5">
        <f>Loans[[#This Row],[Projected]]-Loans[[#This Row],[Actual]]</f>
        <v>0</v>
      </c>
    </row>
    <row r="108" spans="3:6" ht="26.25" customHeight="1" x14ac:dyDescent="0.2">
      <c r="C108" s="6" t="s">
        <v>1</v>
      </c>
      <c r="D108" s="5"/>
      <c r="E108" s="5"/>
      <c r="F108" s="5">
        <f>Loans[[#This Row],[Projected]]-Loans[[#This Row],[Actual]]</f>
        <v>0</v>
      </c>
    </row>
    <row r="109" spans="3:6" ht="26.25" customHeight="1" x14ac:dyDescent="0.2">
      <c r="C109" s="6" t="s">
        <v>0</v>
      </c>
      <c r="D109" s="5">
        <f>SUBTOTAL(109,Loans[Projected])</f>
        <v>0</v>
      </c>
      <c r="E109" s="5">
        <f>SUBTOTAL(109,Loans[Actual])</f>
        <v>0</v>
      </c>
      <c r="F109" s="5">
        <f>SUBTOTAL(109,Loans[Variance])</f>
        <v>0</v>
      </c>
    </row>
    <row r="110" spans="3:6" ht="26.25" customHeight="1" x14ac:dyDescent="0.2">
      <c r="C110" s="4"/>
      <c r="D110" s="4"/>
      <c r="E110" s="4"/>
      <c r="F110" s="4"/>
    </row>
    <row r="111" spans="3:6" ht="26.25" customHeight="1" x14ac:dyDescent="0.2">
      <c r="C111" s="8" t="s">
        <v>20</v>
      </c>
      <c r="D111" s="7" t="s">
        <v>7</v>
      </c>
      <c r="E111" s="7" t="s">
        <v>6</v>
      </c>
      <c r="F111" s="7" t="s">
        <v>5</v>
      </c>
    </row>
    <row r="112" spans="3:6" ht="26.25" customHeight="1" x14ac:dyDescent="0.2">
      <c r="C112" s="6" t="s">
        <v>19</v>
      </c>
      <c r="D112" s="5"/>
      <c r="E112" s="5"/>
      <c r="F112" s="5">
        <f>Taxes[[#This Row],[Projected]]-Taxes[[#This Row],[Actual]]</f>
        <v>0</v>
      </c>
    </row>
    <row r="113" spans="3:6" ht="26.25" customHeight="1" x14ac:dyDescent="0.2">
      <c r="C113" s="6" t="s">
        <v>18</v>
      </c>
      <c r="D113" s="5"/>
      <c r="E113" s="5"/>
      <c r="F113" s="5">
        <f>Taxes[[#This Row],[Projected]]-Taxes[[#This Row],[Actual]]</f>
        <v>0</v>
      </c>
    </row>
    <row r="114" spans="3:6" ht="26.25" customHeight="1" x14ac:dyDescent="0.2">
      <c r="C114" s="6" t="s">
        <v>17</v>
      </c>
      <c r="D114" s="5"/>
      <c r="E114" s="5"/>
      <c r="F114" s="5">
        <f>Taxes[[#This Row],[Projected]]-Taxes[[#This Row],[Actual]]</f>
        <v>0</v>
      </c>
    </row>
    <row r="115" spans="3:6" ht="26.25" customHeight="1" x14ac:dyDescent="0.2">
      <c r="C115" s="6" t="s">
        <v>1</v>
      </c>
      <c r="D115" s="5"/>
      <c r="E115" s="5"/>
      <c r="F115" s="5">
        <f>Taxes[[#This Row],[Projected]]-Taxes[[#This Row],[Actual]]</f>
        <v>0</v>
      </c>
    </row>
    <row r="116" spans="3:6" ht="26.25" customHeight="1" x14ac:dyDescent="0.2">
      <c r="C116" s="6" t="s">
        <v>0</v>
      </c>
      <c r="D116" s="5">
        <f>SUBTOTAL(109,Taxes[Projected])</f>
        <v>0</v>
      </c>
      <c r="E116" s="5">
        <f>SUBTOTAL(109,Taxes[Actual])</f>
        <v>0</v>
      </c>
      <c r="F116" s="5">
        <f>SUBTOTAL(109,Taxes[Variance])</f>
        <v>0</v>
      </c>
    </row>
    <row r="117" spans="3:6" ht="26.25" customHeight="1" x14ac:dyDescent="0.2">
      <c r="C117" s="4"/>
      <c r="D117" s="4"/>
      <c r="E117" s="4"/>
      <c r="F117" s="4"/>
    </row>
    <row r="118" spans="3:6" ht="26.25" customHeight="1" x14ac:dyDescent="0.2">
      <c r="C118" s="8" t="s">
        <v>16</v>
      </c>
      <c r="D118" s="7" t="s">
        <v>7</v>
      </c>
      <c r="E118" s="7" t="s">
        <v>6</v>
      </c>
      <c r="F118" s="7" t="s">
        <v>5</v>
      </c>
    </row>
    <row r="119" spans="3:6" ht="26.25" customHeight="1" x14ac:dyDescent="0.2">
      <c r="C119" s="6" t="s">
        <v>15</v>
      </c>
      <c r="D119" s="5"/>
      <c r="E119" s="5"/>
      <c r="F119" s="5">
        <f>Savings[[#This Row],[Projected]]-Savings[[#This Row],[Actual]]</f>
        <v>0</v>
      </c>
    </row>
    <row r="120" spans="3:6" ht="26.25" customHeight="1" x14ac:dyDescent="0.2">
      <c r="C120" s="6" t="s">
        <v>14</v>
      </c>
      <c r="D120" s="5"/>
      <c r="E120" s="5"/>
      <c r="F120" s="5">
        <f>Savings[[#This Row],[Projected]]-Savings[[#This Row],[Actual]]</f>
        <v>0</v>
      </c>
    </row>
    <row r="121" spans="3:6" ht="26.25" customHeight="1" x14ac:dyDescent="0.2">
      <c r="C121" s="6" t="s">
        <v>13</v>
      </c>
      <c r="D121" s="5"/>
      <c r="E121" s="5"/>
      <c r="F121" s="5">
        <f>Savings[[#This Row],[Projected]]-Savings[[#This Row],[Actual]]</f>
        <v>0</v>
      </c>
    </row>
    <row r="122" spans="3:6" ht="26.25" customHeight="1" x14ac:dyDescent="0.2">
      <c r="C122" s="6" t="s">
        <v>1</v>
      </c>
      <c r="D122" s="5"/>
      <c r="E122" s="5"/>
      <c r="F122" s="5">
        <f>Savings[[#This Row],[Projected]]-Savings[[#This Row],[Actual]]</f>
        <v>0</v>
      </c>
    </row>
    <row r="123" spans="3:6" ht="26.25" customHeight="1" x14ac:dyDescent="0.2">
      <c r="C123" s="6" t="s">
        <v>0</v>
      </c>
      <c r="D123" s="5">
        <f>SUBTOTAL(109,Savings[Projected])</f>
        <v>0</v>
      </c>
      <c r="E123" s="5">
        <f>SUBTOTAL(109,Savings[Actual])</f>
        <v>0</v>
      </c>
      <c r="F123" s="5">
        <f>SUBTOTAL(109,Savings[Variance])</f>
        <v>0</v>
      </c>
    </row>
    <row r="124" spans="3:6" ht="26.25" customHeight="1" x14ac:dyDescent="0.2">
      <c r="C124" s="4"/>
      <c r="D124" s="4"/>
      <c r="E124" s="4"/>
      <c r="F124" s="4"/>
    </row>
    <row r="125" spans="3:6" ht="26.25" customHeight="1" x14ac:dyDescent="0.2">
      <c r="C125" s="8" t="s">
        <v>12</v>
      </c>
      <c r="D125" s="7" t="s">
        <v>7</v>
      </c>
      <c r="E125" s="7" t="s">
        <v>6</v>
      </c>
      <c r="F125" s="7" t="s">
        <v>5</v>
      </c>
    </row>
    <row r="126" spans="3:6" ht="26.25" customHeight="1" x14ac:dyDescent="0.2">
      <c r="C126" s="6" t="s">
        <v>11</v>
      </c>
      <c r="D126" s="5"/>
      <c r="E126" s="5"/>
      <c r="F126" s="5">
        <f>Gifts[[#This Row],[Projected]]-Gifts[[#This Row],[Actual]]</f>
        <v>0</v>
      </c>
    </row>
    <row r="127" spans="3:6" ht="26.25" customHeight="1" x14ac:dyDescent="0.2">
      <c r="C127" s="6" t="s">
        <v>10</v>
      </c>
      <c r="D127" s="5"/>
      <c r="E127" s="5"/>
      <c r="F127" s="5">
        <f>Gifts[[#This Row],[Projected]]-Gifts[[#This Row],[Actual]]</f>
        <v>0</v>
      </c>
    </row>
    <row r="128" spans="3:6" ht="26.25" customHeight="1" x14ac:dyDescent="0.2">
      <c r="C128" s="6" t="s">
        <v>9</v>
      </c>
      <c r="D128" s="5"/>
      <c r="E128" s="5"/>
      <c r="F128" s="5">
        <f>Gifts[[#This Row],[Projected]]-Gifts[[#This Row],[Actual]]</f>
        <v>0</v>
      </c>
    </row>
    <row r="129" spans="3:6" ht="26.25" customHeight="1" x14ac:dyDescent="0.2">
      <c r="C129" s="6" t="s">
        <v>0</v>
      </c>
      <c r="D129" s="5">
        <f>SUBTOTAL(109,Gifts[Projected])</f>
        <v>0</v>
      </c>
      <c r="E129" s="5">
        <f>SUBTOTAL(109,Gifts[Actual])</f>
        <v>0</v>
      </c>
      <c r="F129" s="5">
        <f>SUBTOTAL(109,Gifts[Variance])</f>
        <v>0</v>
      </c>
    </row>
    <row r="130" spans="3:6" ht="26.25" customHeight="1" x14ac:dyDescent="0.2">
      <c r="C130" s="4"/>
      <c r="D130" s="4"/>
      <c r="E130" s="4"/>
      <c r="F130" s="4"/>
    </row>
    <row r="131" spans="3:6" ht="26.25" customHeight="1" x14ac:dyDescent="0.2">
      <c r="C131" s="8" t="s">
        <v>8</v>
      </c>
      <c r="D131" s="7" t="s">
        <v>7</v>
      </c>
      <c r="E131" s="7" t="s">
        <v>6</v>
      </c>
      <c r="F131" s="7" t="s">
        <v>5</v>
      </c>
    </row>
    <row r="132" spans="3:6" ht="26.25" customHeight="1" x14ac:dyDescent="0.2">
      <c r="C132" s="6" t="s">
        <v>4</v>
      </c>
      <c r="D132" s="5"/>
      <c r="E132" s="5"/>
      <c r="F132" s="5">
        <f>Legal[[#This Row],[Projected]]-Legal[[#This Row],[Actual]]</f>
        <v>0</v>
      </c>
    </row>
    <row r="133" spans="3:6" ht="26.25" customHeight="1" x14ac:dyDescent="0.2">
      <c r="C133" s="6" t="s">
        <v>3</v>
      </c>
      <c r="D133" s="5"/>
      <c r="E133" s="5"/>
      <c r="F133" s="5">
        <f>Legal[[#This Row],[Projected]]-Legal[[#This Row],[Actual]]</f>
        <v>0</v>
      </c>
    </row>
    <row r="134" spans="3:6" ht="26.25" customHeight="1" x14ac:dyDescent="0.2">
      <c r="C134" s="6" t="s">
        <v>2</v>
      </c>
      <c r="D134" s="5"/>
      <c r="E134" s="5"/>
      <c r="F134" s="5">
        <f>Legal[[#This Row],[Projected]]-Legal[[#This Row],[Actual]]</f>
        <v>0</v>
      </c>
    </row>
    <row r="135" spans="3:6" ht="26.25" customHeight="1" x14ac:dyDescent="0.2">
      <c r="C135" s="6" t="s">
        <v>1</v>
      </c>
      <c r="D135" s="5"/>
      <c r="E135" s="5"/>
      <c r="F135" s="5">
        <f>Legal[[#This Row],[Projected]]-Legal[[#This Row],[Actual]]</f>
        <v>0</v>
      </c>
    </row>
    <row r="136" spans="3:6" ht="26.25" customHeight="1" x14ac:dyDescent="0.2">
      <c r="C136" s="6" t="s">
        <v>0</v>
      </c>
      <c r="D136" s="5">
        <f>SUBTOTAL(109,Legal[Projected])</f>
        <v>0</v>
      </c>
      <c r="E136" s="5">
        <f>SUBTOTAL(109,Legal[Actual])</f>
        <v>0</v>
      </c>
      <c r="F136" s="5">
        <f>SUBTOTAL(109,Legal[Variance])</f>
        <v>0</v>
      </c>
    </row>
    <row r="137" spans="3:6" ht="26.25" customHeight="1" x14ac:dyDescent="0.2">
      <c r="C137" s="4"/>
      <c r="D137" s="4"/>
      <c r="E137" s="4"/>
      <c r="F137" s="4"/>
    </row>
  </sheetData>
  <mergeCells count="15">
    <mergeCell ref="C81:F81"/>
    <mergeCell ref="C37:F37"/>
    <mergeCell ref="C55:F55"/>
    <mergeCell ref="C61:F61"/>
    <mergeCell ref="C73:F73"/>
    <mergeCell ref="B16:F16"/>
    <mergeCell ref="B23:F23"/>
    <mergeCell ref="C48:F48"/>
    <mergeCell ref="C137:F137"/>
    <mergeCell ref="C91:F91"/>
    <mergeCell ref="C101:F101"/>
    <mergeCell ref="C110:F110"/>
    <mergeCell ref="C117:F117"/>
    <mergeCell ref="C124:F124"/>
    <mergeCell ref="C130:F130"/>
  </mergeCells>
  <conditionalFormatting sqref="F18:F22">
    <cfRule type="iconSet" priority="1">
      <iconSet>
        <cfvo type="percent" val="0"/>
        <cfvo type="num" val="0"/>
        <cfvo type="num" val="1"/>
      </iconSet>
    </cfRule>
  </conditionalFormatting>
  <conditionalFormatting sqref="F13:F15">
    <cfRule type="iconSet" priority="2">
      <iconSet>
        <cfvo type="percent" val="0"/>
        <cfvo type="num" val="0"/>
        <cfvo type="num" val="1"/>
      </iconSet>
    </cfRule>
  </conditionalFormatting>
  <conditionalFormatting sqref="F25:F36">
    <cfRule type="iconSet" priority="3">
      <iconSet>
        <cfvo type="percent" val="0"/>
        <cfvo type="num" val="0"/>
        <cfvo type="num" val="1"/>
      </iconSet>
    </cfRule>
  </conditionalFormatting>
  <conditionalFormatting sqref="F39:F47">
    <cfRule type="iconSet" priority="4">
      <iconSet>
        <cfvo type="percent" val="0"/>
        <cfvo type="num" val="0"/>
        <cfvo type="num" val="1"/>
      </iconSet>
    </cfRule>
  </conditionalFormatting>
  <conditionalFormatting sqref="F50:F54">
    <cfRule type="iconSet" priority="5">
      <iconSet>
        <cfvo type="percent" val="0"/>
        <cfvo type="num" val="0"/>
        <cfvo type="num" val="1"/>
      </iconSet>
    </cfRule>
  </conditionalFormatting>
  <conditionalFormatting sqref="F57:F60">
    <cfRule type="iconSet" priority="6">
      <iconSet>
        <cfvo type="percent" val="0"/>
        <cfvo type="num" val="0"/>
        <cfvo type="num" val="1"/>
      </iconSet>
    </cfRule>
  </conditionalFormatting>
  <conditionalFormatting sqref="F63:F72">
    <cfRule type="iconSet" priority="7">
      <iconSet>
        <cfvo type="percent" val="0"/>
        <cfvo type="num" val="0"/>
        <cfvo type="num" val="1"/>
      </iconSet>
    </cfRule>
  </conditionalFormatting>
  <conditionalFormatting sqref="F75:F80">
    <cfRule type="iconSet" priority="8">
      <iconSet>
        <cfvo type="percent" val="0"/>
        <cfvo type="num" val="0"/>
        <cfvo type="num" val="1"/>
      </iconSet>
    </cfRule>
  </conditionalFormatting>
  <conditionalFormatting sqref="F83:F90">
    <cfRule type="iconSet" priority="9">
      <iconSet>
        <cfvo type="percent" val="0"/>
        <cfvo type="num" val="0"/>
        <cfvo type="num" val="1"/>
      </iconSet>
    </cfRule>
  </conditionalFormatting>
  <conditionalFormatting sqref="F93:F100">
    <cfRule type="iconSet" priority="10">
      <iconSet>
        <cfvo type="percent" val="0"/>
        <cfvo type="num" val="0"/>
        <cfvo type="num" val="1"/>
      </iconSet>
    </cfRule>
  </conditionalFormatting>
  <conditionalFormatting sqref="F103:F109">
    <cfRule type="iconSet" priority="11">
      <iconSet>
        <cfvo type="percent" val="0"/>
        <cfvo type="num" val="0"/>
        <cfvo type="num" val="1"/>
      </iconSet>
    </cfRule>
  </conditionalFormatting>
  <conditionalFormatting sqref="F112:F116">
    <cfRule type="iconSet" priority="12">
      <iconSet>
        <cfvo type="percent" val="0"/>
        <cfvo type="num" val="0"/>
        <cfvo type="num" val="1"/>
      </iconSet>
    </cfRule>
  </conditionalFormatting>
  <conditionalFormatting sqref="F119:F123">
    <cfRule type="iconSet" priority="13">
      <iconSet>
        <cfvo type="percent" val="0"/>
        <cfvo type="num" val="0"/>
        <cfvo type="num" val="1"/>
      </iconSet>
    </cfRule>
  </conditionalFormatting>
  <conditionalFormatting sqref="F126:F129">
    <cfRule type="iconSet" priority="14">
      <iconSet>
        <cfvo type="percent" val="0"/>
        <cfvo type="num" val="0"/>
        <cfvo type="num" val="1"/>
      </iconSet>
    </cfRule>
  </conditionalFormatting>
  <conditionalFormatting sqref="F132:F136">
    <cfRule type="iconSet" priority="15">
      <iconSet>
        <cfvo type="percent" val="0"/>
        <cfvo type="num" val="0"/>
        <cfvo type="num" val="1"/>
      </iconSet>
    </cfRule>
  </conditionalFormatting>
  <printOptions horizontalCentered="1"/>
  <pageMargins left="0.5" right="0.5" top="0.5" bottom="0.5" header="0.25" footer="0.25"/>
  <pageSetup scale="80" fitToHeight="0" orientation="portrait" r:id="rId1"/>
  <headerFooter>
    <oddFooter>Page &amp;P of &amp;N</oddFooter>
  </headerFooter>
  <drawing r:id="rId2"/>
  <tableParts count="15">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89999084444715716"/>
    <pageSetUpPr fitToPage="1"/>
  </sheetPr>
  <dimension ref="A1:AH1399"/>
  <sheetViews>
    <sheetView showGridLines="0" zoomScaleNormal="100" workbookViewId="0"/>
  </sheetViews>
  <sheetFormatPr defaultRowHeight="15" customHeight="1" x14ac:dyDescent="0.25"/>
  <cols>
    <col min="1" max="1" width="24.28515625" style="41" customWidth="1"/>
    <col min="2" max="32" width="4" style="39" customWidth="1"/>
    <col min="33" max="33" width="13.5703125" style="40" customWidth="1"/>
    <col min="34" max="34" width="9.140625" style="39"/>
    <col min="35" max="16384" width="9.140625" style="38"/>
  </cols>
  <sheetData>
    <row r="1" spans="1:34" s="74" customFormat="1" ht="50.25" customHeight="1" x14ac:dyDescent="0.25">
      <c r="A1" s="80" t="s">
        <v>187</v>
      </c>
      <c r="B1" s="79"/>
      <c r="C1" s="79"/>
      <c r="D1" s="79"/>
      <c r="E1" s="79"/>
      <c r="F1" s="79"/>
      <c r="G1" s="79"/>
      <c r="H1" s="79"/>
      <c r="I1" s="79"/>
      <c r="J1" s="79"/>
      <c r="K1" s="79"/>
      <c r="L1" s="79"/>
      <c r="M1" s="79"/>
      <c r="N1" s="79"/>
      <c r="O1" s="79"/>
      <c r="P1" s="79"/>
      <c r="Q1" s="79"/>
      <c r="R1" s="79"/>
      <c r="S1" s="79"/>
      <c r="T1" s="79"/>
      <c r="U1" s="79"/>
      <c r="V1" s="79"/>
      <c r="W1" s="79"/>
      <c r="X1" s="79"/>
      <c r="Y1" s="79"/>
      <c r="Z1" s="79"/>
      <c r="AA1" s="79"/>
      <c r="AB1" s="79"/>
      <c r="AC1" s="78"/>
      <c r="AD1" s="78"/>
      <c r="AE1" s="77"/>
      <c r="AF1" s="76"/>
      <c r="AG1" s="76"/>
      <c r="AH1" s="75"/>
    </row>
    <row r="2" spans="1:34" s="71" customFormat="1" ht="30" customHeight="1" x14ac:dyDescent="0.25">
      <c r="A2" s="70" t="s">
        <v>186</v>
      </c>
      <c r="B2" s="73" t="s">
        <v>185</v>
      </c>
      <c r="C2" s="73"/>
      <c r="D2" s="73"/>
      <c r="E2" s="73"/>
      <c r="F2" s="73"/>
      <c r="G2" s="73"/>
      <c r="H2" s="73"/>
      <c r="I2" s="73"/>
      <c r="J2" s="73"/>
      <c r="K2" s="73"/>
      <c r="L2" s="73"/>
      <c r="M2" s="73"/>
      <c r="N2" s="73"/>
      <c r="O2" s="73"/>
      <c r="P2" s="73"/>
      <c r="Q2" s="73"/>
      <c r="R2" s="73"/>
      <c r="S2" s="73"/>
      <c r="T2" s="73"/>
      <c r="U2" s="73"/>
      <c r="V2" s="73"/>
      <c r="W2" s="73"/>
      <c r="X2" s="73"/>
      <c r="Y2" s="73"/>
      <c r="Z2" s="73"/>
      <c r="AA2" s="73"/>
      <c r="AB2" s="73"/>
      <c r="AC2" s="73"/>
      <c r="AD2" s="73"/>
      <c r="AE2" s="73"/>
      <c r="AF2" s="73"/>
      <c r="AG2" s="66">
        <v>2013</v>
      </c>
      <c r="AH2" s="72"/>
    </row>
    <row r="3" spans="1:34" s="64" customFormat="1" ht="15.75" customHeight="1" x14ac:dyDescent="0.3">
      <c r="A3" s="70"/>
      <c r="B3" s="69" t="str">
        <f>TEXT(WEEKDAY(DATE(CalendarYear,1,1),1),"aaa")</f>
        <v>Oca</v>
      </c>
      <c r="C3" s="68" t="str">
        <f>TEXT(WEEKDAY(DATE(CalendarYear,1,2),1),"aaa")</f>
        <v>Oca</v>
      </c>
      <c r="D3" s="68" t="str">
        <f>TEXT(WEEKDAY(DATE(CalendarYear,1,3),1),"aaa")</f>
        <v>Oca</v>
      </c>
      <c r="E3" s="68" t="str">
        <f>TEXT(WEEKDAY(DATE(CalendarYear,1,4),1),"aaa")</f>
        <v>Oca</v>
      </c>
      <c r="F3" s="68" t="str">
        <f>TEXT(WEEKDAY(DATE(CalendarYear,1,5),1),"aaa")</f>
        <v>Oca</v>
      </c>
      <c r="G3" s="68" t="str">
        <f>TEXT(WEEKDAY(DATE(CalendarYear,1,6),1),"aaa")</f>
        <v>Oca</v>
      </c>
      <c r="H3" s="68" t="str">
        <f>TEXT(WEEKDAY(DATE(CalendarYear,1,7),1),"aaa")</f>
        <v>Oca</v>
      </c>
      <c r="I3" s="68" t="str">
        <f>TEXT(WEEKDAY(DATE(CalendarYear,1,8),1),"aaa")</f>
        <v>Oca</v>
      </c>
      <c r="J3" s="68" t="str">
        <f>TEXT(WEEKDAY(DATE(CalendarYear,1,9),1),"aaa")</f>
        <v>Oca</v>
      </c>
      <c r="K3" s="68" t="str">
        <f>TEXT(WEEKDAY(DATE(CalendarYear,1,10),1),"aaa")</f>
        <v>Oca</v>
      </c>
      <c r="L3" s="68" t="str">
        <f>TEXT(WEEKDAY(DATE(CalendarYear,1,11),1),"aaa")</f>
        <v>Oca</v>
      </c>
      <c r="M3" s="68" t="str">
        <f>TEXT(WEEKDAY(DATE(CalendarYear,1,12),1),"aaa")</f>
        <v>Oca</v>
      </c>
      <c r="N3" s="68" t="str">
        <f>TEXT(WEEKDAY(DATE(CalendarYear,1,13),1),"aaa")</f>
        <v>Oca</v>
      </c>
      <c r="O3" s="68" t="str">
        <f>TEXT(WEEKDAY(DATE(CalendarYear,1,14),1),"aaa")</f>
        <v>Oca</v>
      </c>
      <c r="P3" s="68" t="str">
        <f>TEXT(WEEKDAY(DATE(CalendarYear,1,15),1),"aaa")</f>
        <v>Oca</v>
      </c>
      <c r="Q3" s="68" t="str">
        <f>TEXT(WEEKDAY(DATE(CalendarYear,1,16),1),"aaa")</f>
        <v>Oca</v>
      </c>
      <c r="R3" s="68" t="str">
        <f>TEXT(WEEKDAY(DATE(CalendarYear,1,17),1),"aaa")</f>
        <v>Oca</v>
      </c>
      <c r="S3" s="68" t="str">
        <f>TEXT(WEEKDAY(DATE(CalendarYear,1,18),1),"aaa")</f>
        <v>Oca</v>
      </c>
      <c r="T3" s="68" t="str">
        <f>TEXT(WEEKDAY(DATE(CalendarYear,1,19),1),"aaa")</f>
        <v>Oca</v>
      </c>
      <c r="U3" s="68" t="str">
        <f>TEXT(WEEKDAY(DATE(CalendarYear,1,20),1),"aaa")</f>
        <v>Oca</v>
      </c>
      <c r="V3" s="68" t="str">
        <f>TEXT(WEEKDAY(DATE(CalendarYear,1,21),1),"aaa")</f>
        <v>Oca</v>
      </c>
      <c r="W3" s="68" t="str">
        <f>TEXT(WEEKDAY(DATE(CalendarYear,1,22),1),"aaa")</f>
        <v>Oca</v>
      </c>
      <c r="X3" s="68" t="str">
        <f>TEXT(WEEKDAY(DATE(CalendarYear,1,23),1),"aaa")</f>
        <v>Oca</v>
      </c>
      <c r="Y3" s="68" t="str">
        <f>TEXT(WEEKDAY(DATE(CalendarYear,1,24),1),"aaa")</f>
        <v>Oca</v>
      </c>
      <c r="Z3" s="68" t="str">
        <f>TEXT(WEEKDAY(DATE(CalendarYear,1,25),1),"aaa")</f>
        <v>Oca</v>
      </c>
      <c r="AA3" s="68" t="str">
        <f>TEXT(WEEKDAY(DATE(CalendarYear,1,26),1),"aaa")</f>
        <v>Oca</v>
      </c>
      <c r="AB3" s="68" t="str">
        <f>TEXT(WEEKDAY(DATE(CalendarYear,1,27),1),"aaa")</f>
        <v>Oca</v>
      </c>
      <c r="AC3" s="68" t="str">
        <f>TEXT(WEEKDAY(DATE(CalendarYear,1,28),1),"aaa")</f>
        <v>Oca</v>
      </c>
      <c r="AD3" s="68" t="str">
        <f>TEXT(WEEKDAY(DATE(CalendarYear,1,29),1),"aaa")</f>
        <v>Oca</v>
      </c>
      <c r="AE3" s="68" t="str">
        <f>TEXT(WEEKDAY(DATE(CalendarYear,1,30),1),"aaa")</f>
        <v>Oca</v>
      </c>
      <c r="AF3" s="67" t="str">
        <f>TEXT(WEEKDAY(DATE(CalendarYear,1,31),1),"aaa")</f>
        <v>Oca</v>
      </c>
      <c r="AG3" s="66"/>
      <c r="AH3" s="65"/>
    </row>
    <row r="4" spans="1:34" s="61" customFormat="1" x14ac:dyDescent="0.25">
      <c r="A4" s="63" t="s">
        <v>184</v>
      </c>
      <c r="B4" s="59" t="s">
        <v>183</v>
      </c>
      <c r="C4" s="59" t="s">
        <v>182</v>
      </c>
      <c r="D4" s="59" t="s">
        <v>181</v>
      </c>
      <c r="E4" s="59" t="s">
        <v>180</v>
      </c>
      <c r="F4" s="59" t="s">
        <v>179</v>
      </c>
      <c r="G4" s="59" t="s">
        <v>178</v>
      </c>
      <c r="H4" s="59" t="s">
        <v>177</v>
      </c>
      <c r="I4" s="59" t="s">
        <v>176</v>
      </c>
      <c r="J4" s="59" t="s">
        <v>175</v>
      </c>
      <c r="K4" s="59" t="s">
        <v>174</v>
      </c>
      <c r="L4" s="59" t="s">
        <v>173</v>
      </c>
      <c r="M4" s="59" t="s">
        <v>172</v>
      </c>
      <c r="N4" s="59" t="s">
        <v>171</v>
      </c>
      <c r="O4" s="59" t="s">
        <v>170</v>
      </c>
      <c r="P4" s="59" t="s">
        <v>169</v>
      </c>
      <c r="Q4" s="59" t="s">
        <v>168</v>
      </c>
      <c r="R4" s="59" t="s">
        <v>167</v>
      </c>
      <c r="S4" s="59" t="s">
        <v>166</v>
      </c>
      <c r="T4" s="59" t="s">
        <v>165</v>
      </c>
      <c r="U4" s="59" t="s">
        <v>164</v>
      </c>
      <c r="V4" s="59" t="s">
        <v>163</v>
      </c>
      <c r="W4" s="59" t="s">
        <v>162</v>
      </c>
      <c r="X4" s="59" t="s">
        <v>161</v>
      </c>
      <c r="Y4" s="59" t="s">
        <v>160</v>
      </c>
      <c r="Z4" s="59" t="s">
        <v>159</v>
      </c>
      <c r="AA4" s="59" t="s">
        <v>158</v>
      </c>
      <c r="AB4" s="59" t="s">
        <v>157</v>
      </c>
      <c r="AC4" s="59" t="s">
        <v>156</v>
      </c>
      <c r="AD4" s="59" t="s">
        <v>155</v>
      </c>
      <c r="AE4" s="59" t="s">
        <v>154</v>
      </c>
      <c r="AF4" s="59" t="s">
        <v>153</v>
      </c>
      <c r="AG4" s="59" t="s">
        <v>152</v>
      </c>
      <c r="AH4" s="62"/>
    </row>
    <row r="5" spans="1:34" s="61" customFormat="1" x14ac:dyDescent="0.25">
      <c r="A5" s="60" t="s">
        <v>151</v>
      </c>
      <c r="B5" s="59"/>
      <c r="C5" s="59"/>
      <c r="D5" s="59" t="s">
        <v>145</v>
      </c>
      <c r="E5" s="59" t="s">
        <v>145</v>
      </c>
      <c r="F5" s="59" t="s">
        <v>145</v>
      </c>
      <c r="G5" s="59" t="s">
        <v>145</v>
      </c>
      <c r="H5" s="59"/>
      <c r="I5" s="59"/>
      <c r="J5" s="59"/>
      <c r="K5" s="59"/>
      <c r="L5" s="59"/>
      <c r="M5" s="59"/>
      <c r="N5" s="59" t="s">
        <v>145</v>
      </c>
      <c r="O5" s="59"/>
      <c r="P5" s="59"/>
      <c r="Q5" s="59"/>
      <c r="R5" s="59"/>
      <c r="S5" s="59"/>
      <c r="T5" s="59"/>
      <c r="U5" s="59"/>
      <c r="V5" s="59"/>
      <c r="W5" s="59"/>
      <c r="X5" s="59"/>
      <c r="Y5" s="59"/>
      <c r="Z5" s="59"/>
      <c r="AA5" s="59"/>
      <c r="AB5" s="59"/>
      <c r="AC5" s="59"/>
      <c r="AD5" s="59"/>
      <c r="AE5" s="59"/>
      <c r="AF5" s="59"/>
      <c r="AG5" s="55">
        <f>COUNTA(tblJanuary[[#This Row],[1]:[31]])</f>
        <v>5</v>
      </c>
      <c r="AH5" s="62"/>
    </row>
    <row r="6" spans="1:34" s="61" customFormat="1" x14ac:dyDescent="0.25">
      <c r="A6" s="60" t="s">
        <v>150</v>
      </c>
      <c r="B6" s="59"/>
      <c r="C6" s="59"/>
      <c r="D6" s="59"/>
      <c r="E6" s="59"/>
      <c r="F6" s="59" t="s">
        <v>142</v>
      </c>
      <c r="G6" s="59" t="s">
        <v>142</v>
      </c>
      <c r="H6" s="59"/>
      <c r="I6" s="59"/>
      <c r="J6" s="59"/>
      <c r="K6" s="59"/>
      <c r="L6" s="59" t="s">
        <v>143</v>
      </c>
      <c r="M6" s="59"/>
      <c r="N6" s="59"/>
      <c r="O6" s="59"/>
      <c r="P6" s="59"/>
      <c r="Q6" s="59"/>
      <c r="R6" s="59"/>
      <c r="S6" s="59"/>
      <c r="T6" s="59"/>
      <c r="U6" s="59" t="s">
        <v>142</v>
      </c>
      <c r="V6" s="59"/>
      <c r="W6" s="59"/>
      <c r="X6" s="59"/>
      <c r="Y6" s="59"/>
      <c r="Z6" s="59" t="s">
        <v>145</v>
      </c>
      <c r="AA6" s="59" t="s">
        <v>145</v>
      </c>
      <c r="AB6" s="59" t="s">
        <v>145</v>
      </c>
      <c r="AC6" s="59"/>
      <c r="AD6" s="59"/>
      <c r="AE6" s="59"/>
      <c r="AF6" s="59"/>
      <c r="AG6" s="55">
        <f>COUNTA(tblJanuary[[#This Row],[1]:[31]])</f>
        <v>7</v>
      </c>
      <c r="AH6" s="62"/>
    </row>
    <row r="7" spans="1:34" s="57" customFormat="1" x14ac:dyDescent="0.25">
      <c r="A7" s="60" t="s">
        <v>149</v>
      </c>
      <c r="B7" s="59"/>
      <c r="C7" s="59"/>
      <c r="D7" s="59" t="s">
        <v>143</v>
      </c>
      <c r="E7" s="59"/>
      <c r="F7" s="59"/>
      <c r="G7" s="59"/>
      <c r="H7" s="59"/>
      <c r="I7" s="59"/>
      <c r="J7" s="59"/>
      <c r="K7" s="59"/>
      <c r="L7" s="59"/>
      <c r="M7" s="59"/>
      <c r="N7" s="59"/>
      <c r="O7" s="59" t="s">
        <v>142</v>
      </c>
      <c r="P7" s="59"/>
      <c r="Q7" s="59"/>
      <c r="R7" s="59"/>
      <c r="S7" s="59"/>
      <c r="T7" s="59"/>
      <c r="U7" s="59"/>
      <c r="V7" s="59"/>
      <c r="W7" s="59"/>
      <c r="X7" s="59"/>
      <c r="Y7" s="59"/>
      <c r="Z7" s="59"/>
      <c r="AA7" s="59"/>
      <c r="AB7" s="59"/>
      <c r="AC7" s="59"/>
      <c r="AD7" s="59" t="s">
        <v>142</v>
      </c>
      <c r="AE7" s="59"/>
      <c r="AF7" s="59"/>
      <c r="AG7" s="55">
        <f>COUNTA(tblJanuary[[#This Row],[1]:[31]])</f>
        <v>3</v>
      </c>
      <c r="AH7" s="58"/>
    </row>
    <row r="8" spans="1:34" s="57" customFormat="1" x14ac:dyDescent="0.25">
      <c r="A8" s="60" t="s">
        <v>148</v>
      </c>
      <c r="B8" s="59"/>
      <c r="C8" s="59"/>
      <c r="D8" s="59"/>
      <c r="E8" s="59"/>
      <c r="F8" s="59"/>
      <c r="G8" s="59"/>
      <c r="H8" s="59" t="s">
        <v>143</v>
      </c>
      <c r="I8" s="59"/>
      <c r="J8" s="59"/>
      <c r="K8" s="59"/>
      <c r="L8" s="59"/>
      <c r="M8" s="59"/>
      <c r="N8" s="59"/>
      <c r="O8" s="59"/>
      <c r="P8" s="59"/>
      <c r="Q8" s="59"/>
      <c r="R8" s="59"/>
      <c r="S8" s="59"/>
      <c r="T8" s="59" t="s">
        <v>145</v>
      </c>
      <c r="U8" s="59" t="s">
        <v>145</v>
      </c>
      <c r="V8" s="59" t="s">
        <v>145</v>
      </c>
      <c r="W8" s="59"/>
      <c r="X8" s="59"/>
      <c r="Y8" s="59"/>
      <c r="Z8" s="59"/>
      <c r="AA8" s="59"/>
      <c r="AB8" s="59"/>
      <c r="AC8" s="59"/>
      <c r="AD8" s="59"/>
      <c r="AE8" s="59"/>
      <c r="AF8" s="59"/>
      <c r="AG8" s="55">
        <f>COUNTA(tblJanuary[[#This Row],[1]:[31]])</f>
        <v>4</v>
      </c>
      <c r="AH8" s="58"/>
    </row>
    <row r="9" spans="1:34" s="57" customFormat="1" x14ac:dyDescent="0.25">
      <c r="A9" s="60" t="s">
        <v>147</v>
      </c>
      <c r="B9" s="59"/>
      <c r="C9" s="59"/>
      <c r="D9" s="59"/>
      <c r="E9" s="59" t="s">
        <v>142</v>
      </c>
      <c r="F9" s="59" t="s">
        <v>145</v>
      </c>
      <c r="G9" s="59" t="s">
        <v>145</v>
      </c>
      <c r="H9" s="59"/>
      <c r="I9" s="59"/>
      <c r="J9" s="59"/>
      <c r="K9" s="59"/>
      <c r="L9" s="59"/>
      <c r="M9" s="59"/>
      <c r="N9" s="59"/>
      <c r="O9" s="59"/>
      <c r="P9" s="59"/>
      <c r="Q9" s="59"/>
      <c r="R9" s="59" t="s">
        <v>142</v>
      </c>
      <c r="S9" s="59"/>
      <c r="T9" s="59"/>
      <c r="U9" s="59"/>
      <c r="V9" s="59"/>
      <c r="W9" s="59"/>
      <c r="X9" s="59"/>
      <c r="Y9" s="59" t="s">
        <v>142</v>
      </c>
      <c r="Z9" s="59"/>
      <c r="AA9" s="59"/>
      <c r="AB9" s="59"/>
      <c r="AC9" s="59"/>
      <c r="AD9" s="59"/>
      <c r="AE9" s="59"/>
      <c r="AF9" s="59" t="s">
        <v>145</v>
      </c>
      <c r="AG9" s="55">
        <f>COUNTA(tblJanuary[[#This Row],[1]:[31]])</f>
        <v>6</v>
      </c>
      <c r="AH9" s="58"/>
    </row>
    <row r="10" spans="1:34" x14ac:dyDescent="0.25">
      <c r="A10" s="56" t="str">
        <f>MonthName&amp;" Total"</f>
        <v>January Total</v>
      </c>
      <c r="B10" s="55">
        <f>SUBTOTAL(103,tblJanuary[1])</f>
        <v>0</v>
      </c>
      <c r="C10" s="55">
        <f>SUBTOTAL(103,tblJanuary[2])</f>
        <v>0</v>
      </c>
      <c r="D10" s="55">
        <f>SUBTOTAL(103,tblJanuary[3])</f>
        <v>2</v>
      </c>
      <c r="E10" s="55">
        <f>SUBTOTAL(103,tblJanuary[4])</f>
        <v>2</v>
      </c>
      <c r="F10" s="55">
        <f>SUBTOTAL(103,tblJanuary[5])</f>
        <v>3</v>
      </c>
      <c r="G10" s="55">
        <f>SUBTOTAL(103,tblJanuary[6])</f>
        <v>3</v>
      </c>
      <c r="H10" s="55">
        <f>SUBTOTAL(103,tblJanuary[7])</f>
        <v>1</v>
      </c>
      <c r="I10" s="55">
        <f>SUBTOTAL(103,tblJanuary[8])</f>
        <v>0</v>
      </c>
      <c r="J10" s="55">
        <f>SUBTOTAL(103,tblJanuary[9])</f>
        <v>0</v>
      </c>
      <c r="K10" s="55">
        <f>SUBTOTAL(103,tblJanuary[10])</f>
        <v>0</v>
      </c>
      <c r="L10" s="55">
        <f>SUBTOTAL(103,tblJanuary[11])</f>
        <v>1</v>
      </c>
      <c r="M10" s="55">
        <f>SUBTOTAL(103,tblJanuary[12])</f>
        <v>0</v>
      </c>
      <c r="N10" s="55">
        <f>SUBTOTAL(103,tblJanuary[13])</f>
        <v>1</v>
      </c>
      <c r="O10" s="55">
        <f>SUBTOTAL(103,tblJanuary[14])</f>
        <v>1</v>
      </c>
      <c r="P10" s="55">
        <f>SUBTOTAL(103,tblJanuary[15])</f>
        <v>0</v>
      </c>
      <c r="Q10" s="55">
        <f>SUBTOTAL(103,tblJanuary[16])</f>
        <v>0</v>
      </c>
      <c r="R10" s="55">
        <f>SUBTOTAL(103,tblJanuary[17])</f>
        <v>1</v>
      </c>
      <c r="S10" s="55">
        <f>SUBTOTAL(103,tblJanuary[18])</f>
        <v>0</v>
      </c>
      <c r="T10" s="55">
        <f>SUBTOTAL(103,tblJanuary[19])</f>
        <v>1</v>
      </c>
      <c r="U10" s="55">
        <f>SUBTOTAL(103,tblJanuary[20])</f>
        <v>2</v>
      </c>
      <c r="V10" s="55">
        <f>SUBTOTAL(103,tblJanuary[21])</f>
        <v>1</v>
      </c>
      <c r="W10" s="55">
        <f>SUBTOTAL(103,tblJanuary[22])</f>
        <v>0</v>
      </c>
      <c r="X10" s="55">
        <f>SUBTOTAL(103,tblJanuary[23])</f>
        <v>0</v>
      </c>
      <c r="Y10" s="55">
        <f>SUBTOTAL(103,tblJanuary[24])</f>
        <v>1</v>
      </c>
      <c r="Z10" s="55">
        <f>SUBTOTAL(103,tblJanuary[25])</f>
        <v>1</v>
      </c>
      <c r="AA10" s="55">
        <f>SUBTOTAL(103,tblJanuary[26])</f>
        <v>1</v>
      </c>
      <c r="AB10" s="55">
        <f>SUBTOTAL(103,tblJanuary[27])</f>
        <v>1</v>
      </c>
      <c r="AC10" s="55">
        <f>SUBTOTAL(103,tblJanuary[28])</f>
        <v>0</v>
      </c>
      <c r="AD10" s="55">
        <f>SUBTOTAL(103,tblJanuary[29])</f>
        <v>1</v>
      </c>
      <c r="AE10" s="55">
        <f>SUBTOTAL(103,tblJanuary[30])</f>
        <v>0</v>
      </c>
      <c r="AF10" s="55">
        <f>SUBTOTAL(103,tblJanuary[31])</f>
        <v>1</v>
      </c>
      <c r="AG10" s="55">
        <f>SUBTOTAL(109,tblJanuary[Total Days])</f>
        <v>25</v>
      </c>
    </row>
    <row r="11" spans="1:34" s="42" customFormat="1" x14ac:dyDescent="0.25">
      <c r="A11" s="54"/>
      <c r="B11" s="54"/>
      <c r="C11" s="54"/>
      <c r="D11" s="54"/>
      <c r="E11" s="54"/>
      <c r="F11" s="54"/>
      <c r="G11" s="54"/>
      <c r="H11" s="54"/>
      <c r="I11" s="54"/>
      <c r="J11" s="54"/>
      <c r="K11" s="54"/>
      <c r="L11" s="54"/>
      <c r="M11" s="54"/>
      <c r="N11" s="54"/>
      <c r="O11" s="54"/>
      <c r="P11" s="54"/>
      <c r="Q11" s="54"/>
      <c r="R11" s="54"/>
      <c r="S11" s="54"/>
      <c r="T11" s="54"/>
      <c r="U11" s="54"/>
      <c r="V11" s="54"/>
      <c r="W11" s="54"/>
      <c r="X11" s="54"/>
      <c r="Y11" s="54"/>
      <c r="Z11" s="54"/>
      <c r="AA11" s="54"/>
      <c r="AB11" s="54"/>
      <c r="AC11" s="54"/>
      <c r="AD11" s="54"/>
      <c r="AE11" s="54"/>
      <c r="AF11" s="54"/>
      <c r="AG11" s="54"/>
    </row>
    <row r="12" spans="1:34" s="42" customFormat="1" x14ac:dyDescent="0.25">
      <c r="A12" s="53"/>
      <c r="B12" s="52" t="s">
        <v>146</v>
      </c>
      <c r="C12" s="52"/>
      <c r="D12" s="52"/>
      <c r="E12" s="52"/>
      <c r="F12" s="51"/>
      <c r="G12" s="50" t="s">
        <v>145</v>
      </c>
      <c r="H12" s="45" t="s">
        <v>144</v>
      </c>
      <c r="I12" s="44"/>
      <c r="J12" s="44"/>
      <c r="K12" s="49" t="s">
        <v>143</v>
      </c>
      <c r="L12" s="45" t="s">
        <v>23</v>
      </c>
      <c r="M12" s="44"/>
      <c r="N12" s="44"/>
      <c r="O12" s="48" t="s">
        <v>142</v>
      </c>
      <c r="P12" s="45" t="s">
        <v>141</v>
      </c>
      <c r="Q12" s="44"/>
      <c r="R12" s="44"/>
      <c r="S12" s="47"/>
      <c r="T12" s="45" t="s">
        <v>140</v>
      </c>
      <c r="U12" s="43"/>
      <c r="V12" s="44"/>
      <c r="W12" s="46"/>
      <c r="X12" s="45" t="s">
        <v>139</v>
      </c>
      <c r="Y12" s="44"/>
      <c r="Z12" s="43"/>
      <c r="AA12" s="39"/>
      <c r="AB12" s="39"/>
      <c r="AC12" s="39"/>
      <c r="AD12" s="39"/>
      <c r="AE12" s="39"/>
      <c r="AF12" s="39"/>
      <c r="AG12" s="40"/>
    </row>
    <row r="13" spans="1:34" s="42" customFormat="1" x14ac:dyDescent="0.25"/>
    <row r="14" spans="1:34" s="42" customFormat="1" x14ac:dyDescent="0.25"/>
    <row r="15" spans="1:34" s="42" customFormat="1" x14ac:dyDescent="0.25"/>
    <row r="16" spans="1:34" s="42" customFormat="1" ht="15" customHeight="1" x14ac:dyDescent="0.25"/>
    <row r="17" s="42" customFormat="1" ht="15" customHeight="1" x14ac:dyDescent="0.25"/>
    <row r="18" s="42" customFormat="1" ht="15" customHeight="1" x14ac:dyDescent="0.25"/>
    <row r="19" s="42" customFormat="1" ht="15" customHeight="1" x14ac:dyDescent="0.25"/>
    <row r="20" s="42" customFormat="1" ht="15" customHeight="1" x14ac:dyDescent="0.25"/>
    <row r="21" s="42" customFormat="1" ht="15" customHeight="1" x14ac:dyDescent="0.25"/>
    <row r="22" s="42" customFormat="1" ht="15" customHeight="1" x14ac:dyDescent="0.25"/>
    <row r="23" s="42" customFormat="1" ht="15" customHeight="1" x14ac:dyDescent="0.25"/>
    <row r="24" s="42" customFormat="1" ht="15" customHeight="1" x14ac:dyDescent="0.25"/>
    <row r="25" s="42" customFormat="1" ht="15" customHeight="1" x14ac:dyDescent="0.25"/>
    <row r="26" s="42" customFormat="1" ht="15" customHeight="1" x14ac:dyDescent="0.25"/>
    <row r="27" s="42" customFormat="1" ht="15" customHeight="1" x14ac:dyDescent="0.25"/>
    <row r="28" s="42" customFormat="1" ht="15" customHeight="1" x14ac:dyDescent="0.25"/>
    <row r="29" s="42" customFormat="1" ht="15" customHeight="1" x14ac:dyDescent="0.25"/>
    <row r="30" s="42" customFormat="1" ht="15" customHeight="1" x14ac:dyDescent="0.25"/>
    <row r="31" s="42" customFormat="1" ht="15" customHeight="1" x14ac:dyDescent="0.25"/>
    <row r="32" s="42" customFormat="1" ht="15" customHeight="1" x14ac:dyDescent="0.25"/>
    <row r="33" s="42" customFormat="1" ht="15" customHeight="1" x14ac:dyDescent="0.25"/>
    <row r="34" s="42" customFormat="1" ht="15" customHeight="1" x14ac:dyDescent="0.25"/>
    <row r="35" s="42" customFormat="1" ht="15" customHeight="1" x14ac:dyDescent="0.25"/>
    <row r="36" s="42" customFormat="1" ht="15" customHeight="1" x14ac:dyDescent="0.25"/>
    <row r="37" s="42" customFormat="1" ht="15" customHeight="1" x14ac:dyDescent="0.25"/>
    <row r="38" s="42" customFormat="1" ht="15" customHeight="1" x14ac:dyDescent="0.25"/>
    <row r="39" s="42" customFormat="1" ht="15" customHeight="1" x14ac:dyDescent="0.25"/>
    <row r="40" s="42" customFormat="1" ht="15" customHeight="1" x14ac:dyDescent="0.25"/>
    <row r="41" s="42" customFormat="1" ht="15" customHeight="1" x14ac:dyDescent="0.25"/>
    <row r="42" s="42" customFormat="1" ht="15" customHeight="1" x14ac:dyDescent="0.25"/>
    <row r="43" s="42" customFormat="1" ht="15" customHeight="1" x14ac:dyDescent="0.25"/>
    <row r="44" s="42" customFormat="1" ht="15" customHeight="1" x14ac:dyDescent="0.25"/>
    <row r="45" s="42" customFormat="1" ht="15" customHeight="1" x14ac:dyDescent="0.25"/>
    <row r="46" s="42" customFormat="1" ht="15" customHeight="1" x14ac:dyDescent="0.25"/>
    <row r="47" s="42" customFormat="1" ht="15" customHeight="1" x14ac:dyDescent="0.25"/>
    <row r="48" s="42" customFormat="1" ht="15" customHeight="1" x14ac:dyDescent="0.25"/>
    <row r="49" s="42" customFormat="1" ht="15" customHeight="1" x14ac:dyDescent="0.25"/>
    <row r="50" s="42" customFormat="1" ht="15" customHeight="1" x14ac:dyDescent="0.25"/>
    <row r="51" s="42" customFormat="1" ht="15" customHeight="1" x14ac:dyDescent="0.25"/>
    <row r="52" s="42" customFormat="1" ht="15" customHeight="1" x14ac:dyDescent="0.25"/>
    <row r="53" s="42" customFormat="1" ht="15" customHeight="1" x14ac:dyDescent="0.25"/>
    <row r="54" s="42" customFormat="1" ht="15" customHeight="1" x14ac:dyDescent="0.25"/>
    <row r="55" s="42" customFormat="1" ht="15" customHeight="1" x14ac:dyDescent="0.25"/>
    <row r="56" s="42" customFormat="1" ht="15" customHeight="1" x14ac:dyDescent="0.25"/>
    <row r="57" s="42" customFormat="1" ht="15" customHeight="1" x14ac:dyDescent="0.25"/>
    <row r="58" s="42" customFormat="1" ht="15" customHeight="1" x14ac:dyDescent="0.25"/>
    <row r="59" s="42" customFormat="1" ht="15" customHeight="1" x14ac:dyDescent="0.25"/>
    <row r="60" s="42" customFormat="1" ht="15" customHeight="1" x14ac:dyDescent="0.25"/>
    <row r="61" s="42" customFormat="1" ht="15" customHeight="1" x14ac:dyDescent="0.25"/>
    <row r="62" s="42" customFormat="1" ht="15" customHeight="1" x14ac:dyDescent="0.25"/>
    <row r="63" s="42" customFormat="1" ht="15" customHeight="1" x14ac:dyDescent="0.25"/>
    <row r="64" s="42" customFormat="1" ht="15" customHeight="1" x14ac:dyDescent="0.25"/>
    <row r="65" s="42" customFormat="1" ht="15" customHeight="1" x14ac:dyDescent="0.25"/>
    <row r="66" s="42" customFormat="1" ht="15" customHeight="1" x14ac:dyDescent="0.25"/>
    <row r="67" s="42" customFormat="1" ht="15" customHeight="1" x14ac:dyDescent="0.25"/>
    <row r="68" s="42" customFormat="1" ht="15" customHeight="1" x14ac:dyDescent="0.25"/>
    <row r="69" s="42" customFormat="1" ht="15" customHeight="1" x14ac:dyDescent="0.25"/>
    <row r="70" s="42" customFormat="1" ht="15" customHeight="1" x14ac:dyDescent="0.25"/>
    <row r="71" s="42" customFormat="1" ht="15" customHeight="1" x14ac:dyDescent="0.25"/>
    <row r="72" s="42" customFormat="1" ht="15" customHeight="1" x14ac:dyDescent="0.25"/>
    <row r="73" s="42" customFormat="1" ht="15" customHeight="1" x14ac:dyDescent="0.25"/>
    <row r="74" s="42" customFormat="1" ht="15" customHeight="1" x14ac:dyDescent="0.25"/>
    <row r="75" s="42" customFormat="1" ht="15" customHeight="1" x14ac:dyDescent="0.25"/>
    <row r="76" s="42" customFormat="1" ht="15" customHeight="1" x14ac:dyDescent="0.25"/>
    <row r="77" s="42" customFormat="1" ht="15" customHeight="1" x14ac:dyDescent="0.25"/>
    <row r="78" s="42" customFormat="1" ht="15" customHeight="1" x14ac:dyDescent="0.25"/>
    <row r="79" s="42" customFormat="1" ht="15" customHeight="1" x14ac:dyDescent="0.25"/>
    <row r="80" s="42" customFormat="1" ht="15" customHeight="1" x14ac:dyDescent="0.25"/>
    <row r="81" s="42" customFormat="1" ht="15" customHeight="1" x14ac:dyDescent="0.25"/>
    <row r="82" s="42" customFormat="1" ht="15" customHeight="1" x14ac:dyDescent="0.25"/>
    <row r="83" s="42" customFormat="1" ht="15" customHeight="1" x14ac:dyDescent="0.25"/>
    <row r="84" s="42" customFormat="1" ht="15" customHeight="1" x14ac:dyDescent="0.25"/>
    <row r="85" s="42" customFormat="1" ht="15" customHeight="1" x14ac:dyDescent="0.25"/>
    <row r="86" s="42" customFormat="1" ht="15" customHeight="1" x14ac:dyDescent="0.25"/>
    <row r="87" s="42" customFormat="1" ht="15" customHeight="1" x14ac:dyDescent="0.25"/>
    <row r="88" s="42" customFormat="1" ht="15" customHeight="1" x14ac:dyDescent="0.25"/>
    <row r="89" s="42" customFormat="1" ht="15" customHeight="1" x14ac:dyDescent="0.25"/>
    <row r="90" s="42" customFormat="1" ht="15" customHeight="1" x14ac:dyDescent="0.25"/>
    <row r="91" s="42" customFormat="1" ht="15" customHeight="1" x14ac:dyDescent="0.25"/>
    <row r="92" s="42" customFormat="1" ht="15" customHeight="1" x14ac:dyDescent="0.25"/>
    <row r="93" s="42" customFormat="1" ht="15" customHeight="1" x14ac:dyDescent="0.25"/>
    <row r="94" s="42" customFormat="1" ht="15" customHeight="1" x14ac:dyDescent="0.25"/>
    <row r="95" s="42" customFormat="1" ht="15" customHeight="1" x14ac:dyDescent="0.25"/>
    <row r="96" s="42" customFormat="1" ht="15" customHeight="1" x14ac:dyDescent="0.25"/>
    <row r="97" s="42" customFormat="1" ht="15" customHeight="1" x14ac:dyDescent="0.25"/>
    <row r="98" s="42" customFormat="1" ht="15" customHeight="1" x14ac:dyDescent="0.25"/>
    <row r="99" s="42" customFormat="1" ht="15" customHeight="1" x14ac:dyDescent="0.25"/>
    <row r="100" s="42" customFormat="1" ht="15" customHeight="1" x14ac:dyDescent="0.25"/>
    <row r="101" s="42" customFormat="1" ht="15" customHeight="1" x14ac:dyDescent="0.25"/>
    <row r="102" s="42" customFormat="1" ht="15" customHeight="1" x14ac:dyDescent="0.25"/>
    <row r="103" s="42" customFormat="1" ht="15" customHeight="1" x14ac:dyDescent="0.25"/>
    <row r="104" s="42" customFormat="1" ht="15" customHeight="1" x14ac:dyDescent="0.25"/>
    <row r="105" s="42" customFormat="1" ht="15" customHeight="1" x14ac:dyDescent="0.25"/>
    <row r="106" s="42" customFormat="1" ht="15" customHeight="1" x14ac:dyDescent="0.25"/>
    <row r="107" s="42" customFormat="1" ht="15" customHeight="1" x14ac:dyDescent="0.25"/>
    <row r="108" s="42" customFormat="1" ht="15" customHeight="1" x14ac:dyDescent="0.25"/>
    <row r="109" s="42" customFormat="1" ht="15" customHeight="1" x14ac:dyDescent="0.25"/>
    <row r="110" s="42" customFormat="1" ht="15" customHeight="1" x14ac:dyDescent="0.25"/>
    <row r="111" s="42" customFormat="1" ht="15" customHeight="1" x14ac:dyDescent="0.25"/>
    <row r="112" s="42" customFormat="1" ht="15" customHeight="1" x14ac:dyDescent="0.25"/>
    <row r="113" s="42" customFormat="1" ht="15" customHeight="1" x14ac:dyDescent="0.25"/>
    <row r="114" s="42" customFormat="1" ht="15" customHeight="1" x14ac:dyDescent="0.25"/>
    <row r="115" s="42" customFormat="1" ht="15" customHeight="1" x14ac:dyDescent="0.25"/>
    <row r="116" s="42" customFormat="1" ht="15" customHeight="1" x14ac:dyDescent="0.25"/>
    <row r="117" s="42" customFormat="1" ht="15" customHeight="1" x14ac:dyDescent="0.25"/>
    <row r="118" s="42" customFormat="1" ht="15" customHeight="1" x14ac:dyDescent="0.25"/>
    <row r="119" s="42" customFormat="1" ht="15" customHeight="1" x14ac:dyDescent="0.25"/>
    <row r="120" s="42" customFormat="1" ht="15" customHeight="1" x14ac:dyDescent="0.25"/>
    <row r="121" s="42" customFormat="1" ht="15" customHeight="1" x14ac:dyDescent="0.25"/>
    <row r="122" s="42" customFormat="1" ht="15" customHeight="1" x14ac:dyDescent="0.25"/>
    <row r="123" s="42" customFormat="1" ht="15" customHeight="1" x14ac:dyDescent="0.25"/>
    <row r="124" s="42" customFormat="1" ht="15" customHeight="1" x14ac:dyDescent="0.25"/>
    <row r="125" s="42" customFormat="1" ht="15" customHeight="1" x14ac:dyDescent="0.25"/>
    <row r="126" s="42" customFormat="1" ht="15" customHeight="1" x14ac:dyDescent="0.25"/>
    <row r="127" s="42" customFormat="1" ht="15" customHeight="1" x14ac:dyDescent="0.25"/>
    <row r="128" s="42" customFormat="1" ht="15" customHeight="1" x14ac:dyDescent="0.25"/>
    <row r="129" s="42" customFormat="1" ht="15" customHeight="1" x14ac:dyDescent="0.25"/>
    <row r="130" s="42" customFormat="1" ht="15" customHeight="1" x14ac:dyDescent="0.25"/>
    <row r="131" s="42" customFormat="1" ht="15" customHeight="1" x14ac:dyDescent="0.25"/>
    <row r="132" s="42" customFormat="1" ht="15" customHeight="1" x14ac:dyDescent="0.25"/>
    <row r="133" s="42" customFormat="1" ht="15" customHeight="1" x14ac:dyDescent="0.25"/>
    <row r="134" s="42" customFormat="1" ht="15" customHeight="1" x14ac:dyDescent="0.25"/>
    <row r="135" s="42" customFormat="1" ht="15" customHeight="1" x14ac:dyDescent="0.25"/>
    <row r="136" s="42" customFormat="1" ht="15" customHeight="1" x14ac:dyDescent="0.25"/>
    <row r="137" s="42" customFormat="1" ht="15" customHeight="1" x14ac:dyDescent="0.25"/>
    <row r="138" s="42" customFormat="1" ht="15" customHeight="1" x14ac:dyDescent="0.25"/>
    <row r="139" s="42" customFormat="1" ht="15" customHeight="1" x14ac:dyDescent="0.25"/>
    <row r="140" s="42" customFormat="1" ht="15" customHeight="1" x14ac:dyDescent="0.25"/>
    <row r="141" s="42" customFormat="1" ht="15" customHeight="1" x14ac:dyDescent="0.25"/>
    <row r="142" s="42" customFormat="1" ht="15" customHeight="1" x14ac:dyDescent="0.25"/>
    <row r="143" s="42" customFormat="1" ht="15" customHeight="1" x14ac:dyDescent="0.25"/>
    <row r="144" s="42" customFormat="1" ht="15" customHeight="1" x14ac:dyDescent="0.25"/>
    <row r="145" s="42" customFormat="1" ht="15" customHeight="1" x14ac:dyDescent="0.25"/>
    <row r="146" s="42" customFormat="1" ht="15" customHeight="1" x14ac:dyDescent="0.25"/>
    <row r="147" s="42" customFormat="1" ht="15" customHeight="1" x14ac:dyDescent="0.25"/>
    <row r="148" s="42" customFormat="1" ht="15" customHeight="1" x14ac:dyDescent="0.25"/>
    <row r="149" s="42" customFormat="1" ht="15" customHeight="1" x14ac:dyDescent="0.25"/>
    <row r="150" s="42" customFormat="1" ht="15" customHeight="1" x14ac:dyDescent="0.25"/>
    <row r="151" s="42" customFormat="1" ht="15" customHeight="1" x14ac:dyDescent="0.25"/>
    <row r="152" s="42" customFormat="1" ht="15" customHeight="1" x14ac:dyDescent="0.25"/>
    <row r="153" s="42" customFormat="1" ht="15" customHeight="1" x14ac:dyDescent="0.25"/>
    <row r="154" s="42" customFormat="1" ht="15" customHeight="1" x14ac:dyDescent="0.25"/>
    <row r="155" s="42" customFormat="1" ht="15" customHeight="1" x14ac:dyDescent="0.25"/>
    <row r="156" s="42" customFormat="1" ht="15" customHeight="1" x14ac:dyDescent="0.25"/>
    <row r="157" s="42" customFormat="1" ht="15" customHeight="1" x14ac:dyDescent="0.25"/>
    <row r="158" s="42" customFormat="1" ht="15" customHeight="1" x14ac:dyDescent="0.25"/>
    <row r="159" s="42" customFormat="1" ht="15" customHeight="1" x14ac:dyDescent="0.25"/>
    <row r="160" s="42" customFormat="1" ht="15" customHeight="1" x14ac:dyDescent="0.25"/>
    <row r="161" s="42" customFormat="1" ht="15" customHeight="1" x14ac:dyDescent="0.25"/>
    <row r="162" s="42" customFormat="1" ht="15" customHeight="1" x14ac:dyDescent="0.25"/>
    <row r="163" s="42" customFormat="1" ht="15" customHeight="1" x14ac:dyDescent="0.25"/>
    <row r="164" s="42" customFormat="1" ht="15" customHeight="1" x14ac:dyDescent="0.25"/>
    <row r="165" s="42" customFormat="1" ht="15" customHeight="1" x14ac:dyDescent="0.25"/>
    <row r="166" s="42" customFormat="1" ht="15" customHeight="1" x14ac:dyDescent="0.25"/>
    <row r="167" s="42" customFormat="1" ht="15" customHeight="1" x14ac:dyDescent="0.25"/>
    <row r="168" s="42" customFormat="1" ht="15" customHeight="1" x14ac:dyDescent="0.25"/>
    <row r="169" s="42" customFormat="1" ht="15" customHeight="1" x14ac:dyDescent="0.25"/>
    <row r="170" s="42" customFormat="1" ht="15" customHeight="1" x14ac:dyDescent="0.25"/>
    <row r="171" s="42" customFormat="1" ht="15" customHeight="1" x14ac:dyDescent="0.25"/>
    <row r="172" s="42" customFormat="1" ht="15" customHeight="1" x14ac:dyDescent="0.25"/>
    <row r="173" s="42" customFormat="1" ht="15" customHeight="1" x14ac:dyDescent="0.25"/>
    <row r="174" s="42" customFormat="1" ht="15" customHeight="1" x14ac:dyDescent="0.25"/>
    <row r="175" s="42" customFormat="1" ht="15" customHeight="1" x14ac:dyDescent="0.25"/>
    <row r="176" s="42" customFormat="1" ht="15" customHeight="1" x14ac:dyDescent="0.25"/>
    <row r="177" s="42" customFormat="1" ht="15" customHeight="1" x14ac:dyDescent="0.25"/>
    <row r="178" s="42" customFormat="1" ht="15" customHeight="1" x14ac:dyDescent="0.25"/>
    <row r="179" s="42" customFormat="1" ht="15" customHeight="1" x14ac:dyDescent="0.25"/>
    <row r="180" s="42" customFormat="1" ht="15" customHeight="1" x14ac:dyDescent="0.25"/>
    <row r="181" s="42" customFormat="1" ht="15" customHeight="1" x14ac:dyDescent="0.25"/>
    <row r="182" s="42" customFormat="1" ht="15" customHeight="1" x14ac:dyDescent="0.25"/>
    <row r="183" s="42" customFormat="1" ht="15" customHeight="1" x14ac:dyDescent="0.25"/>
    <row r="184" s="42" customFormat="1" ht="15" customHeight="1" x14ac:dyDescent="0.25"/>
    <row r="185" s="42" customFormat="1" ht="15" customHeight="1" x14ac:dyDescent="0.25"/>
    <row r="186" s="42" customFormat="1" ht="15" customHeight="1" x14ac:dyDescent="0.25"/>
    <row r="187" s="42" customFormat="1" ht="15" customHeight="1" x14ac:dyDescent="0.25"/>
    <row r="188" s="42" customFormat="1" ht="15" customHeight="1" x14ac:dyDescent="0.25"/>
    <row r="189" s="42" customFormat="1" ht="15" customHeight="1" x14ac:dyDescent="0.25"/>
    <row r="190" s="42" customFormat="1" ht="15" customHeight="1" x14ac:dyDescent="0.25"/>
    <row r="191" s="42" customFormat="1" ht="15" customHeight="1" x14ac:dyDescent="0.25"/>
    <row r="192" s="42" customFormat="1" ht="15" customHeight="1" x14ac:dyDescent="0.25"/>
    <row r="193" s="42" customFormat="1" ht="15" customHeight="1" x14ac:dyDescent="0.25"/>
    <row r="194" s="42" customFormat="1" ht="15" customHeight="1" x14ac:dyDescent="0.25"/>
    <row r="195" s="42" customFormat="1" ht="15" customHeight="1" x14ac:dyDescent="0.25"/>
    <row r="196" s="42" customFormat="1" ht="15" customHeight="1" x14ac:dyDescent="0.25"/>
    <row r="197" s="42" customFormat="1" ht="15" customHeight="1" x14ac:dyDescent="0.25"/>
    <row r="198" s="42" customFormat="1" ht="15" customHeight="1" x14ac:dyDescent="0.25"/>
    <row r="199" s="42" customFormat="1" ht="15" customHeight="1" x14ac:dyDescent="0.25"/>
    <row r="200" s="42" customFormat="1" ht="15" customHeight="1" x14ac:dyDescent="0.25"/>
    <row r="201" s="42" customFormat="1" ht="15" customHeight="1" x14ac:dyDescent="0.25"/>
    <row r="202" s="42" customFormat="1" ht="15" customHeight="1" x14ac:dyDescent="0.25"/>
    <row r="203" s="42" customFormat="1" ht="15" customHeight="1" x14ac:dyDescent="0.25"/>
    <row r="204" s="42" customFormat="1" ht="15" customHeight="1" x14ac:dyDescent="0.25"/>
    <row r="205" s="42" customFormat="1" ht="15" customHeight="1" x14ac:dyDescent="0.25"/>
    <row r="206" s="42" customFormat="1" ht="15" customHeight="1" x14ac:dyDescent="0.25"/>
    <row r="207" s="42" customFormat="1" ht="15" customHeight="1" x14ac:dyDescent="0.25"/>
    <row r="208" s="42" customFormat="1" ht="15" customHeight="1" x14ac:dyDescent="0.25"/>
    <row r="209" s="42" customFormat="1" ht="15" customHeight="1" x14ac:dyDescent="0.25"/>
    <row r="210" s="42" customFormat="1" ht="15" customHeight="1" x14ac:dyDescent="0.25"/>
    <row r="211" s="42" customFormat="1" ht="15" customHeight="1" x14ac:dyDescent="0.25"/>
    <row r="212" s="42" customFormat="1" ht="15" customHeight="1" x14ac:dyDescent="0.25"/>
    <row r="213" s="42" customFormat="1" ht="15" customHeight="1" x14ac:dyDescent="0.25"/>
    <row r="214" s="42" customFormat="1" ht="15" customHeight="1" x14ac:dyDescent="0.25"/>
    <row r="215" s="42" customFormat="1" ht="15" customHeight="1" x14ac:dyDescent="0.25"/>
    <row r="216" s="42" customFormat="1" ht="15" customHeight="1" x14ac:dyDescent="0.25"/>
    <row r="217" s="42" customFormat="1" ht="15" customHeight="1" x14ac:dyDescent="0.25"/>
    <row r="218" s="42" customFormat="1" ht="15" customHeight="1" x14ac:dyDescent="0.25"/>
    <row r="219" s="42" customFormat="1" ht="15" customHeight="1" x14ac:dyDescent="0.25"/>
    <row r="220" s="42" customFormat="1" ht="15" customHeight="1" x14ac:dyDescent="0.25"/>
    <row r="221" s="42" customFormat="1" ht="15" customHeight="1" x14ac:dyDescent="0.25"/>
    <row r="222" s="42" customFormat="1" ht="15" customHeight="1" x14ac:dyDescent="0.25"/>
    <row r="223" s="42" customFormat="1" ht="15" customHeight="1" x14ac:dyDescent="0.25"/>
    <row r="224" s="42" customFormat="1" ht="15" customHeight="1" x14ac:dyDescent="0.25"/>
    <row r="225" s="42" customFormat="1" ht="15" customHeight="1" x14ac:dyDescent="0.25"/>
    <row r="226" s="42" customFormat="1" ht="15" customHeight="1" x14ac:dyDescent="0.25"/>
    <row r="227" s="42" customFormat="1" ht="15" customHeight="1" x14ac:dyDescent="0.25"/>
    <row r="228" s="42" customFormat="1" ht="15" customHeight="1" x14ac:dyDescent="0.25"/>
    <row r="229" s="42" customFormat="1" ht="15" customHeight="1" x14ac:dyDescent="0.25"/>
    <row r="230" s="42" customFormat="1" ht="15" customHeight="1" x14ac:dyDescent="0.25"/>
    <row r="231" s="42" customFormat="1" ht="15" customHeight="1" x14ac:dyDescent="0.25"/>
    <row r="232" s="42" customFormat="1" ht="15" customHeight="1" x14ac:dyDescent="0.25"/>
    <row r="233" s="42" customFormat="1" ht="15" customHeight="1" x14ac:dyDescent="0.25"/>
    <row r="234" s="42" customFormat="1" ht="15" customHeight="1" x14ac:dyDescent="0.25"/>
    <row r="235" s="42" customFormat="1" ht="15" customHeight="1" x14ac:dyDescent="0.25"/>
    <row r="236" s="42" customFormat="1" ht="15" customHeight="1" x14ac:dyDescent="0.25"/>
    <row r="237" s="42" customFormat="1" ht="15" customHeight="1" x14ac:dyDescent="0.25"/>
    <row r="238" s="42" customFormat="1" ht="15" customHeight="1" x14ac:dyDescent="0.25"/>
    <row r="239" s="42" customFormat="1" ht="15" customHeight="1" x14ac:dyDescent="0.25"/>
    <row r="240" s="42" customFormat="1" ht="15" customHeight="1" x14ac:dyDescent="0.25"/>
    <row r="241" s="42" customFormat="1" ht="15" customHeight="1" x14ac:dyDescent="0.25"/>
    <row r="242" s="42" customFormat="1" ht="15" customHeight="1" x14ac:dyDescent="0.25"/>
    <row r="243" s="42" customFormat="1" ht="15" customHeight="1" x14ac:dyDescent="0.25"/>
    <row r="244" s="42" customFormat="1" ht="15" customHeight="1" x14ac:dyDescent="0.25"/>
    <row r="245" s="42" customFormat="1" ht="15" customHeight="1" x14ac:dyDescent="0.25"/>
    <row r="246" s="42" customFormat="1" ht="15" customHeight="1" x14ac:dyDescent="0.25"/>
    <row r="247" s="42" customFormat="1" ht="15" customHeight="1" x14ac:dyDescent="0.25"/>
    <row r="248" s="42" customFormat="1" ht="15" customHeight="1" x14ac:dyDescent="0.25"/>
    <row r="249" s="42" customFormat="1" ht="15" customHeight="1" x14ac:dyDescent="0.25"/>
    <row r="250" s="42" customFormat="1" ht="15" customHeight="1" x14ac:dyDescent="0.25"/>
    <row r="251" s="42" customFormat="1" ht="15" customHeight="1" x14ac:dyDescent="0.25"/>
    <row r="252" s="42" customFormat="1" ht="15" customHeight="1" x14ac:dyDescent="0.25"/>
    <row r="253" s="42" customFormat="1" ht="15" customHeight="1" x14ac:dyDescent="0.25"/>
    <row r="254" s="42" customFormat="1" ht="15" customHeight="1" x14ac:dyDescent="0.25"/>
    <row r="255" s="42" customFormat="1" ht="15" customHeight="1" x14ac:dyDescent="0.25"/>
    <row r="256" s="42" customFormat="1" ht="15" customHeight="1" x14ac:dyDescent="0.25"/>
    <row r="257" s="42" customFormat="1" ht="15" customHeight="1" x14ac:dyDescent="0.25"/>
    <row r="258" s="42" customFormat="1" ht="15" customHeight="1" x14ac:dyDescent="0.25"/>
    <row r="259" s="42" customFormat="1" ht="15" customHeight="1" x14ac:dyDescent="0.25"/>
    <row r="260" s="42" customFormat="1" ht="15" customHeight="1" x14ac:dyDescent="0.25"/>
    <row r="261" s="42" customFormat="1" ht="15" customHeight="1" x14ac:dyDescent="0.25"/>
    <row r="262" s="42" customFormat="1" ht="15" customHeight="1" x14ac:dyDescent="0.25"/>
    <row r="263" s="42" customFormat="1" ht="15" customHeight="1" x14ac:dyDescent="0.25"/>
    <row r="264" s="42" customFormat="1" ht="15" customHeight="1" x14ac:dyDescent="0.25"/>
    <row r="265" s="42" customFormat="1" ht="15" customHeight="1" x14ac:dyDescent="0.25"/>
    <row r="266" s="42" customFormat="1" ht="15" customHeight="1" x14ac:dyDescent="0.25"/>
    <row r="267" s="42" customFormat="1" ht="15" customHeight="1" x14ac:dyDescent="0.25"/>
    <row r="268" s="42" customFormat="1" ht="15" customHeight="1" x14ac:dyDescent="0.25"/>
    <row r="269" s="42" customFormat="1" ht="15" customHeight="1" x14ac:dyDescent="0.25"/>
    <row r="270" s="42" customFormat="1" ht="15" customHeight="1" x14ac:dyDescent="0.25"/>
    <row r="271" s="42" customFormat="1" ht="15" customHeight="1" x14ac:dyDescent="0.25"/>
    <row r="272" s="42" customFormat="1" ht="15" customHeight="1" x14ac:dyDescent="0.25"/>
    <row r="273" s="42" customFormat="1" ht="15" customHeight="1" x14ac:dyDescent="0.25"/>
    <row r="274" s="42" customFormat="1" ht="15" customHeight="1" x14ac:dyDescent="0.25"/>
    <row r="275" s="42" customFormat="1" ht="15" customHeight="1" x14ac:dyDescent="0.25"/>
    <row r="276" s="42" customFormat="1" ht="15" customHeight="1" x14ac:dyDescent="0.25"/>
    <row r="277" s="42" customFormat="1" ht="15" customHeight="1" x14ac:dyDescent="0.25"/>
    <row r="278" s="42" customFormat="1" ht="15" customHeight="1" x14ac:dyDescent="0.25"/>
    <row r="279" s="42" customFormat="1" ht="15" customHeight="1" x14ac:dyDescent="0.25"/>
    <row r="280" s="42" customFormat="1" ht="15" customHeight="1" x14ac:dyDescent="0.25"/>
    <row r="281" s="42" customFormat="1" ht="15" customHeight="1" x14ac:dyDescent="0.25"/>
    <row r="282" s="42" customFormat="1" ht="15" customHeight="1" x14ac:dyDescent="0.25"/>
    <row r="283" s="42" customFormat="1" ht="15" customHeight="1" x14ac:dyDescent="0.25"/>
    <row r="284" s="42" customFormat="1" ht="15" customHeight="1" x14ac:dyDescent="0.25"/>
    <row r="285" s="42" customFormat="1" ht="15" customHeight="1" x14ac:dyDescent="0.25"/>
    <row r="286" s="42" customFormat="1" ht="15" customHeight="1" x14ac:dyDescent="0.25"/>
    <row r="287" s="42" customFormat="1" ht="15" customHeight="1" x14ac:dyDescent="0.25"/>
    <row r="288" s="42" customFormat="1" ht="15" customHeight="1" x14ac:dyDescent="0.25"/>
    <row r="289" s="42" customFormat="1" ht="15" customHeight="1" x14ac:dyDescent="0.25"/>
    <row r="290" s="42" customFormat="1" ht="15" customHeight="1" x14ac:dyDescent="0.25"/>
    <row r="291" s="42" customFormat="1" ht="15" customHeight="1" x14ac:dyDescent="0.25"/>
    <row r="292" s="42" customFormat="1" ht="15" customHeight="1" x14ac:dyDescent="0.25"/>
    <row r="293" s="42" customFormat="1" ht="15" customHeight="1" x14ac:dyDescent="0.25"/>
    <row r="294" s="42" customFormat="1" ht="15" customHeight="1" x14ac:dyDescent="0.25"/>
    <row r="295" s="42" customFormat="1" ht="15" customHeight="1" x14ac:dyDescent="0.25"/>
    <row r="296" s="42" customFormat="1" ht="15" customHeight="1" x14ac:dyDescent="0.25"/>
    <row r="297" s="42" customFormat="1" ht="15" customHeight="1" x14ac:dyDescent="0.25"/>
    <row r="298" s="42" customFormat="1" ht="15" customHeight="1" x14ac:dyDescent="0.25"/>
    <row r="299" s="42" customFormat="1" ht="15" customHeight="1" x14ac:dyDescent="0.25"/>
    <row r="300" s="42" customFormat="1" ht="15" customHeight="1" x14ac:dyDescent="0.25"/>
    <row r="301" s="42" customFormat="1" ht="15" customHeight="1" x14ac:dyDescent="0.25"/>
    <row r="302" s="42" customFormat="1" ht="15" customHeight="1" x14ac:dyDescent="0.25"/>
    <row r="303" s="42" customFormat="1" ht="15" customHeight="1" x14ac:dyDescent="0.25"/>
    <row r="304" s="42" customFormat="1" ht="15" customHeight="1" x14ac:dyDescent="0.25"/>
    <row r="305" s="42" customFormat="1" ht="15" customHeight="1" x14ac:dyDescent="0.25"/>
    <row r="306" s="42" customFormat="1" ht="15" customHeight="1" x14ac:dyDescent="0.25"/>
    <row r="307" s="42" customFormat="1" ht="15" customHeight="1" x14ac:dyDescent="0.25"/>
    <row r="308" s="42" customFormat="1" ht="15" customHeight="1" x14ac:dyDescent="0.25"/>
    <row r="309" s="42" customFormat="1" ht="15" customHeight="1" x14ac:dyDescent="0.25"/>
    <row r="310" s="42" customFormat="1" ht="15" customHeight="1" x14ac:dyDescent="0.25"/>
    <row r="311" s="42" customFormat="1" ht="15" customHeight="1" x14ac:dyDescent="0.25"/>
    <row r="312" s="42" customFormat="1" ht="15" customHeight="1" x14ac:dyDescent="0.25"/>
    <row r="313" s="42" customFormat="1" ht="15" customHeight="1" x14ac:dyDescent="0.25"/>
    <row r="314" s="42" customFormat="1" ht="15" customHeight="1" x14ac:dyDescent="0.25"/>
    <row r="315" s="42" customFormat="1" ht="15" customHeight="1" x14ac:dyDescent="0.25"/>
    <row r="316" s="42" customFormat="1" ht="15" customHeight="1" x14ac:dyDescent="0.25"/>
    <row r="317" s="42" customFormat="1" ht="15" customHeight="1" x14ac:dyDescent="0.25"/>
    <row r="318" s="42" customFormat="1" ht="15" customHeight="1" x14ac:dyDescent="0.25"/>
    <row r="319" s="42" customFormat="1" ht="15" customHeight="1" x14ac:dyDescent="0.25"/>
    <row r="320" s="42" customFormat="1" ht="15" customHeight="1" x14ac:dyDescent="0.25"/>
    <row r="321" s="42" customFormat="1" ht="15" customHeight="1" x14ac:dyDescent="0.25"/>
    <row r="322" s="42" customFormat="1" ht="15" customHeight="1" x14ac:dyDescent="0.25"/>
    <row r="323" s="42" customFormat="1" ht="15" customHeight="1" x14ac:dyDescent="0.25"/>
    <row r="324" s="42" customFormat="1" ht="15" customHeight="1" x14ac:dyDescent="0.25"/>
    <row r="325" s="42" customFormat="1" ht="15" customHeight="1" x14ac:dyDescent="0.25"/>
    <row r="326" s="42" customFormat="1" ht="15" customHeight="1" x14ac:dyDescent="0.25"/>
    <row r="327" s="42" customFormat="1" ht="15" customHeight="1" x14ac:dyDescent="0.25"/>
    <row r="328" s="42" customFormat="1" ht="15" customHeight="1" x14ac:dyDescent="0.25"/>
    <row r="329" s="42" customFormat="1" ht="15" customHeight="1" x14ac:dyDescent="0.25"/>
    <row r="330" s="42" customFormat="1" ht="15" customHeight="1" x14ac:dyDescent="0.25"/>
    <row r="331" s="42" customFormat="1" ht="15" customHeight="1" x14ac:dyDescent="0.25"/>
    <row r="332" s="42" customFormat="1" ht="15" customHeight="1" x14ac:dyDescent="0.25"/>
    <row r="333" s="42" customFormat="1" ht="15" customHeight="1" x14ac:dyDescent="0.25"/>
    <row r="334" s="42" customFormat="1" ht="15" customHeight="1" x14ac:dyDescent="0.25"/>
    <row r="335" s="42" customFormat="1" ht="15" customHeight="1" x14ac:dyDescent="0.25"/>
    <row r="336" s="42" customFormat="1" ht="15" customHeight="1" x14ac:dyDescent="0.25"/>
    <row r="337" s="42" customFormat="1" ht="15" customHeight="1" x14ac:dyDescent="0.25"/>
    <row r="338" s="42" customFormat="1" ht="15" customHeight="1" x14ac:dyDescent="0.25"/>
    <row r="339" s="42" customFormat="1" ht="15" customHeight="1" x14ac:dyDescent="0.25"/>
    <row r="340" s="42" customFormat="1" ht="15" customHeight="1" x14ac:dyDescent="0.25"/>
    <row r="341" s="42" customFormat="1" ht="15" customHeight="1" x14ac:dyDescent="0.25"/>
    <row r="342" s="42" customFormat="1" ht="15" customHeight="1" x14ac:dyDescent="0.25"/>
    <row r="343" s="42" customFormat="1" ht="15" customHeight="1" x14ac:dyDescent="0.25"/>
    <row r="344" s="42" customFormat="1" ht="15" customHeight="1" x14ac:dyDescent="0.25"/>
    <row r="345" s="42" customFormat="1" ht="15" customHeight="1" x14ac:dyDescent="0.25"/>
    <row r="346" s="42" customFormat="1" ht="15" customHeight="1" x14ac:dyDescent="0.25"/>
    <row r="347" s="42" customFormat="1" ht="15" customHeight="1" x14ac:dyDescent="0.25"/>
    <row r="348" s="42" customFormat="1" ht="15" customHeight="1" x14ac:dyDescent="0.25"/>
    <row r="349" s="42" customFormat="1" ht="15" customHeight="1" x14ac:dyDescent="0.25"/>
    <row r="350" s="42" customFormat="1" ht="15" customHeight="1" x14ac:dyDescent="0.25"/>
    <row r="351" s="42" customFormat="1" ht="15" customHeight="1" x14ac:dyDescent="0.25"/>
    <row r="352" s="42" customFormat="1" ht="15" customHeight="1" x14ac:dyDescent="0.25"/>
    <row r="353" s="42" customFormat="1" ht="15" customHeight="1" x14ac:dyDescent="0.25"/>
    <row r="354" s="42" customFormat="1" ht="15" customHeight="1" x14ac:dyDescent="0.25"/>
    <row r="355" s="42" customFormat="1" ht="15" customHeight="1" x14ac:dyDescent="0.25"/>
    <row r="356" s="42" customFormat="1" ht="15" customHeight="1" x14ac:dyDescent="0.25"/>
    <row r="357" s="42" customFormat="1" ht="15" customHeight="1" x14ac:dyDescent="0.25"/>
    <row r="358" s="42" customFormat="1" ht="15" customHeight="1" x14ac:dyDescent="0.25"/>
    <row r="359" s="42" customFormat="1" ht="15" customHeight="1" x14ac:dyDescent="0.25"/>
    <row r="360" s="42" customFormat="1" ht="15" customHeight="1" x14ac:dyDescent="0.25"/>
    <row r="361" s="42" customFormat="1" ht="15" customHeight="1" x14ac:dyDescent="0.25"/>
    <row r="362" s="42" customFormat="1" ht="15" customHeight="1" x14ac:dyDescent="0.25"/>
    <row r="363" s="42" customFormat="1" ht="15" customHeight="1" x14ac:dyDescent="0.25"/>
    <row r="364" s="42" customFormat="1" ht="15" customHeight="1" x14ac:dyDescent="0.25"/>
    <row r="365" s="42" customFormat="1" ht="15" customHeight="1" x14ac:dyDescent="0.25"/>
    <row r="366" s="42" customFormat="1" ht="15" customHeight="1" x14ac:dyDescent="0.25"/>
    <row r="367" s="42" customFormat="1" ht="15" customHeight="1" x14ac:dyDescent="0.25"/>
    <row r="368" s="42" customFormat="1" ht="15" customHeight="1" x14ac:dyDescent="0.25"/>
    <row r="369" s="42" customFormat="1" ht="15" customHeight="1" x14ac:dyDescent="0.25"/>
    <row r="370" s="42" customFormat="1" ht="15" customHeight="1" x14ac:dyDescent="0.25"/>
    <row r="371" s="42" customFormat="1" ht="15" customHeight="1" x14ac:dyDescent="0.25"/>
    <row r="372" s="42" customFormat="1" ht="15" customHeight="1" x14ac:dyDescent="0.25"/>
    <row r="373" s="42" customFormat="1" ht="15" customHeight="1" x14ac:dyDescent="0.25"/>
    <row r="374" s="42" customFormat="1" ht="15" customHeight="1" x14ac:dyDescent="0.25"/>
    <row r="375" s="42" customFormat="1" ht="15" customHeight="1" x14ac:dyDescent="0.25"/>
    <row r="376" s="42" customFormat="1" ht="15" customHeight="1" x14ac:dyDescent="0.25"/>
    <row r="377" s="42" customFormat="1" ht="15" customHeight="1" x14ac:dyDescent="0.25"/>
    <row r="378" s="42" customFormat="1" ht="15" customHeight="1" x14ac:dyDescent="0.25"/>
    <row r="379" s="42" customFormat="1" ht="15" customHeight="1" x14ac:dyDescent="0.25"/>
    <row r="380" s="42" customFormat="1" ht="15" customHeight="1" x14ac:dyDescent="0.25"/>
    <row r="381" s="42" customFormat="1" ht="15" customHeight="1" x14ac:dyDescent="0.25"/>
    <row r="382" s="42" customFormat="1" ht="15" customHeight="1" x14ac:dyDescent="0.25"/>
    <row r="383" s="42" customFormat="1" ht="15" customHeight="1" x14ac:dyDescent="0.25"/>
    <row r="384" s="42" customFormat="1" ht="15" customHeight="1" x14ac:dyDescent="0.25"/>
    <row r="385" s="42" customFormat="1" ht="15" customHeight="1" x14ac:dyDescent="0.25"/>
    <row r="386" s="42" customFormat="1" ht="15" customHeight="1" x14ac:dyDescent="0.25"/>
    <row r="387" s="42" customFormat="1" ht="15" customHeight="1" x14ac:dyDescent="0.25"/>
    <row r="388" s="42" customFormat="1" ht="15" customHeight="1" x14ac:dyDescent="0.25"/>
    <row r="389" s="42" customFormat="1" ht="15" customHeight="1" x14ac:dyDescent="0.25"/>
    <row r="390" s="42" customFormat="1" ht="15" customHeight="1" x14ac:dyDescent="0.25"/>
    <row r="391" s="42" customFormat="1" ht="15" customHeight="1" x14ac:dyDescent="0.25"/>
    <row r="392" s="42" customFormat="1" ht="15" customHeight="1" x14ac:dyDescent="0.25"/>
    <row r="393" s="42" customFormat="1" ht="15" customHeight="1" x14ac:dyDescent="0.25"/>
    <row r="394" s="42" customFormat="1" ht="15" customHeight="1" x14ac:dyDescent="0.25"/>
    <row r="395" s="42" customFormat="1" ht="15" customHeight="1" x14ac:dyDescent="0.25"/>
    <row r="396" s="42" customFormat="1" ht="15" customHeight="1" x14ac:dyDescent="0.25"/>
    <row r="397" s="42" customFormat="1" ht="15" customHeight="1" x14ac:dyDescent="0.25"/>
    <row r="398" s="42" customFormat="1" ht="15" customHeight="1" x14ac:dyDescent="0.25"/>
    <row r="399" s="42" customFormat="1" ht="15" customHeight="1" x14ac:dyDescent="0.25"/>
    <row r="400" s="42" customFormat="1" ht="15" customHeight="1" x14ac:dyDescent="0.25"/>
    <row r="401" s="42" customFormat="1" ht="15" customHeight="1" x14ac:dyDescent="0.25"/>
    <row r="402" s="42" customFormat="1" ht="15" customHeight="1" x14ac:dyDescent="0.25"/>
    <row r="403" s="42" customFormat="1" ht="15" customHeight="1" x14ac:dyDescent="0.25"/>
    <row r="404" s="42" customFormat="1" ht="15" customHeight="1" x14ac:dyDescent="0.25"/>
    <row r="405" s="42" customFormat="1" ht="15" customHeight="1" x14ac:dyDescent="0.25"/>
    <row r="406" s="42" customFormat="1" ht="15" customHeight="1" x14ac:dyDescent="0.25"/>
    <row r="407" s="42" customFormat="1" ht="15" customHeight="1" x14ac:dyDescent="0.25"/>
    <row r="408" s="42" customFormat="1" ht="15" customHeight="1" x14ac:dyDescent="0.25"/>
    <row r="409" s="42" customFormat="1" ht="15" customHeight="1" x14ac:dyDescent="0.25"/>
    <row r="410" s="42" customFormat="1" ht="15" customHeight="1" x14ac:dyDescent="0.25"/>
    <row r="411" s="42" customFormat="1" ht="15" customHeight="1" x14ac:dyDescent="0.25"/>
    <row r="412" s="42" customFormat="1" ht="15" customHeight="1" x14ac:dyDescent="0.25"/>
    <row r="413" s="42" customFormat="1" ht="15" customHeight="1" x14ac:dyDescent="0.25"/>
    <row r="414" s="42" customFormat="1" ht="15" customHeight="1" x14ac:dyDescent="0.25"/>
    <row r="415" s="42" customFormat="1" ht="15" customHeight="1" x14ac:dyDescent="0.25"/>
    <row r="416" s="42" customFormat="1" ht="15" customHeight="1" x14ac:dyDescent="0.25"/>
    <row r="417" s="42" customFormat="1" ht="15" customHeight="1" x14ac:dyDescent="0.25"/>
    <row r="418" s="42" customFormat="1" ht="15" customHeight="1" x14ac:dyDescent="0.25"/>
    <row r="419" s="42" customFormat="1" ht="15" customHeight="1" x14ac:dyDescent="0.25"/>
    <row r="420" s="42" customFormat="1" ht="15" customHeight="1" x14ac:dyDescent="0.25"/>
    <row r="421" s="42" customFormat="1" ht="15" customHeight="1" x14ac:dyDescent="0.25"/>
    <row r="422" s="42" customFormat="1" ht="15" customHeight="1" x14ac:dyDescent="0.25"/>
    <row r="423" s="42" customFormat="1" ht="15" customHeight="1" x14ac:dyDescent="0.25"/>
    <row r="424" s="42" customFormat="1" ht="15" customHeight="1" x14ac:dyDescent="0.25"/>
    <row r="425" s="42" customFormat="1" ht="15" customHeight="1" x14ac:dyDescent="0.25"/>
    <row r="426" s="42" customFormat="1" ht="15" customHeight="1" x14ac:dyDescent="0.25"/>
    <row r="427" s="42" customFormat="1" ht="15" customHeight="1" x14ac:dyDescent="0.25"/>
    <row r="428" s="42" customFormat="1" ht="15" customHeight="1" x14ac:dyDescent="0.25"/>
    <row r="429" s="42" customFormat="1" ht="15" customHeight="1" x14ac:dyDescent="0.25"/>
    <row r="430" s="42" customFormat="1" ht="15" customHeight="1" x14ac:dyDescent="0.25"/>
    <row r="431" s="42" customFormat="1" ht="15" customHeight="1" x14ac:dyDescent="0.25"/>
    <row r="432" s="42" customFormat="1" ht="15" customHeight="1" x14ac:dyDescent="0.25"/>
    <row r="433" s="42" customFormat="1" ht="15" customHeight="1" x14ac:dyDescent="0.25"/>
    <row r="434" s="42" customFormat="1" ht="15" customHeight="1" x14ac:dyDescent="0.25"/>
    <row r="435" s="42" customFormat="1" ht="15" customHeight="1" x14ac:dyDescent="0.25"/>
    <row r="436" s="42" customFormat="1" ht="15" customHeight="1" x14ac:dyDescent="0.25"/>
    <row r="437" s="42" customFormat="1" ht="15" customHeight="1" x14ac:dyDescent="0.25"/>
    <row r="438" s="42" customFormat="1" ht="15" customHeight="1" x14ac:dyDescent="0.25"/>
    <row r="439" s="42" customFormat="1" ht="15" customHeight="1" x14ac:dyDescent="0.25"/>
    <row r="440" s="42" customFormat="1" ht="15" customHeight="1" x14ac:dyDescent="0.25"/>
    <row r="441" s="42" customFormat="1" ht="15" customHeight="1" x14ac:dyDescent="0.25"/>
    <row r="442" s="42" customFormat="1" ht="15" customHeight="1" x14ac:dyDescent="0.25"/>
    <row r="443" s="42" customFormat="1" ht="15" customHeight="1" x14ac:dyDescent="0.25"/>
    <row r="444" s="42" customFormat="1" ht="15" customHeight="1" x14ac:dyDescent="0.25"/>
    <row r="445" s="42" customFormat="1" ht="15" customHeight="1" x14ac:dyDescent="0.25"/>
    <row r="446" s="42" customFormat="1" ht="15" customHeight="1" x14ac:dyDescent="0.25"/>
    <row r="447" s="42" customFormat="1" ht="15" customHeight="1" x14ac:dyDescent="0.25"/>
    <row r="448" s="42" customFormat="1" ht="15" customHeight="1" x14ac:dyDescent="0.25"/>
    <row r="449" s="42" customFormat="1" ht="15" customHeight="1" x14ac:dyDescent="0.25"/>
    <row r="450" s="42" customFormat="1" ht="15" customHeight="1" x14ac:dyDescent="0.25"/>
    <row r="451" s="42" customFormat="1" ht="15" customHeight="1" x14ac:dyDescent="0.25"/>
    <row r="452" s="42" customFormat="1" ht="15" customHeight="1" x14ac:dyDescent="0.25"/>
    <row r="453" s="42" customFormat="1" ht="15" customHeight="1" x14ac:dyDescent="0.25"/>
    <row r="454" s="42" customFormat="1" ht="15" customHeight="1" x14ac:dyDescent="0.25"/>
    <row r="455" s="42" customFormat="1" ht="15" customHeight="1" x14ac:dyDescent="0.25"/>
    <row r="456" s="42" customFormat="1" ht="15" customHeight="1" x14ac:dyDescent="0.25"/>
    <row r="457" s="42" customFormat="1" ht="15" customHeight="1" x14ac:dyDescent="0.25"/>
    <row r="458" s="42" customFormat="1" ht="15" customHeight="1" x14ac:dyDescent="0.25"/>
    <row r="459" s="42" customFormat="1" ht="15" customHeight="1" x14ac:dyDescent="0.25"/>
    <row r="460" s="42" customFormat="1" ht="15" customHeight="1" x14ac:dyDescent="0.25"/>
    <row r="461" s="42" customFormat="1" ht="15" customHeight="1" x14ac:dyDescent="0.25"/>
    <row r="462" s="42" customFormat="1" ht="15" customHeight="1" x14ac:dyDescent="0.25"/>
    <row r="463" s="42" customFormat="1" ht="15" customHeight="1" x14ac:dyDescent="0.25"/>
    <row r="464" s="42" customFormat="1" ht="15" customHeight="1" x14ac:dyDescent="0.25"/>
    <row r="465" s="42" customFormat="1" ht="15" customHeight="1" x14ac:dyDescent="0.25"/>
    <row r="466" s="42" customFormat="1" ht="15" customHeight="1" x14ac:dyDescent="0.25"/>
    <row r="467" s="42" customFormat="1" ht="15" customHeight="1" x14ac:dyDescent="0.25"/>
    <row r="468" s="42" customFormat="1" ht="15" customHeight="1" x14ac:dyDescent="0.25"/>
    <row r="469" s="42" customFormat="1" ht="15" customHeight="1" x14ac:dyDescent="0.25"/>
    <row r="470" s="42" customFormat="1" ht="15" customHeight="1" x14ac:dyDescent="0.25"/>
    <row r="471" s="42" customFormat="1" ht="15" customHeight="1" x14ac:dyDescent="0.25"/>
    <row r="472" s="42" customFormat="1" ht="15" customHeight="1" x14ac:dyDescent="0.25"/>
    <row r="473" s="42" customFormat="1" ht="15" customHeight="1" x14ac:dyDescent="0.25"/>
    <row r="474" s="42" customFormat="1" ht="15" customHeight="1" x14ac:dyDescent="0.25"/>
    <row r="475" s="42" customFormat="1" ht="15" customHeight="1" x14ac:dyDescent="0.25"/>
    <row r="476" s="42" customFormat="1" ht="15" customHeight="1" x14ac:dyDescent="0.25"/>
    <row r="477" s="42" customFormat="1" ht="15" customHeight="1" x14ac:dyDescent="0.25"/>
    <row r="478" s="42" customFormat="1" ht="15" customHeight="1" x14ac:dyDescent="0.25"/>
    <row r="479" s="42" customFormat="1" ht="15" customHeight="1" x14ac:dyDescent="0.25"/>
    <row r="480" s="42" customFormat="1" ht="15" customHeight="1" x14ac:dyDescent="0.25"/>
    <row r="481" s="42" customFormat="1" ht="15" customHeight="1" x14ac:dyDescent="0.25"/>
    <row r="482" s="42" customFormat="1" ht="15" customHeight="1" x14ac:dyDescent="0.25"/>
    <row r="483" s="42" customFormat="1" ht="15" customHeight="1" x14ac:dyDescent="0.25"/>
    <row r="484" s="42" customFormat="1" ht="15" customHeight="1" x14ac:dyDescent="0.25"/>
    <row r="485" s="42" customFormat="1" ht="15" customHeight="1" x14ac:dyDescent="0.25"/>
    <row r="486" s="42" customFormat="1" ht="15" customHeight="1" x14ac:dyDescent="0.25"/>
    <row r="487" s="42" customFormat="1" ht="15" customHeight="1" x14ac:dyDescent="0.25"/>
    <row r="488" s="42" customFormat="1" ht="15" customHeight="1" x14ac:dyDescent="0.25"/>
    <row r="489" s="42" customFormat="1" ht="15" customHeight="1" x14ac:dyDescent="0.25"/>
    <row r="490" s="42" customFormat="1" ht="15" customHeight="1" x14ac:dyDescent="0.25"/>
    <row r="491" s="42" customFormat="1" ht="15" customHeight="1" x14ac:dyDescent="0.25"/>
    <row r="492" s="42" customFormat="1" ht="15" customHeight="1" x14ac:dyDescent="0.25"/>
    <row r="493" s="42" customFormat="1" ht="15" customHeight="1" x14ac:dyDescent="0.25"/>
    <row r="494" s="42" customFormat="1" ht="15" customHeight="1" x14ac:dyDescent="0.25"/>
    <row r="495" s="42" customFormat="1" ht="15" customHeight="1" x14ac:dyDescent="0.25"/>
    <row r="496" s="42" customFormat="1" ht="15" customHeight="1" x14ac:dyDescent="0.25"/>
    <row r="497" s="42" customFormat="1" ht="15" customHeight="1" x14ac:dyDescent="0.25"/>
    <row r="498" s="42" customFormat="1" ht="15" customHeight="1" x14ac:dyDescent="0.25"/>
    <row r="499" s="42" customFormat="1" ht="15" customHeight="1" x14ac:dyDescent="0.25"/>
    <row r="500" s="42" customFormat="1" ht="15" customHeight="1" x14ac:dyDescent="0.25"/>
    <row r="501" s="42" customFormat="1" ht="15" customHeight="1" x14ac:dyDescent="0.25"/>
    <row r="502" s="42" customFormat="1" ht="15" customHeight="1" x14ac:dyDescent="0.25"/>
    <row r="503" s="42" customFormat="1" ht="15" customHeight="1" x14ac:dyDescent="0.25"/>
    <row r="504" s="42" customFormat="1" ht="15" customHeight="1" x14ac:dyDescent="0.25"/>
    <row r="505" s="42" customFormat="1" ht="15" customHeight="1" x14ac:dyDescent="0.25"/>
    <row r="506" s="42" customFormat="1" ht="15" customHeight="1" x14ac:dyDescent="0.25"/>
    <row r="507" s="42" customFormat="1" ht="15" customHeight="1" x14ac:dyDescent="0.25"/>
    <row r="508" s="42" customFormat="1" ht="15" customHeight="1" x14ac:dyDescent="0.25"/>
    <row r="509" s="42" customFormat="1" ht="15" customHeight="1" x14ac:dyDescent="0.25"/>
    <row r="510" s="42" customFormat="1" ht="15" customHeight="1" x14ac:dyDescent="0.25"/>
    <row r="511" s="42" customFormat="1" ht="15" customHeight="1" x14ac:dyDescent="0.25"/>
    <row r="512" s="42" customFormat="1" ht="15" customHeight="1" x14ac:dyDescent="0.25"/>
    <row r="513" s="42" customFormat="1" ht="15" customHeight="1" x14ac:dyDescent="0.25"/>
    <row r="514" s="42" customFormat="1" ht="15" customHeight="1" x14ac:dyDescent="0.25"/>
    <row r="515" s="42" customFormat="1" ht="15" customHeight="1" x14ac:dyDescent="0.25"/>
    <row r="516" s="42" customFormat="1" ht="15" customHeight="1" x14ac:dyDescent="0.25"/>
    <row r="517" s="42" customFormat="1" ht="15" customHeight="1" x14ac:dyDescent="0.25"/>
    <row r="518" s="42" customFormat="1" ht="15" customHeight="1" x14ac:dyDescent="0.25"/>
    <row r="519" s="42" customFormat="1" ht="15" customHeight="1" x14ac:dyDescent="0.25"/>
    <row r="520" s="42" customFormat="1" ht="15" customHeight="1" x14ac:dyDescent="0.25"/>
    <row r="521" s="42" customFormat="1" ht="15" customHeight="1" x14ac:dyDescent="0.25"/>
    <row r="522" s="42" customFormat="1" ht="15" customHeight="1" x14ac:dyDescent="0.25"/>
    <row r="523" s="42" customFormat="1" ht="15" customHeight="1" x14ac:dyDescent="0.25"/>
    <row r="524" s="42" customFormat="1" ht="15" customHeight="1" x14ac:dyDescent="0.25"/>
    <row r="525" s="42" customFormat="1" ht="15" customHeight="1" x14ac:dyDescent="0.25"/>
    <row r="526" s="42" customFormat="1" ht="15" customHeight="1" x14ac:dyDescent="0.25"/>
    <row r="527" s="42" customFormat="1" ht="15" customHeight="1" x14ac:dyDescent="0.25"/>
    <row r="528" s="42" customFormat="1" ht="15" customHeight="1" x14ac:dyDescent="0.25"/>
    <row r="529" s="42" customFormat="1" ht="15" customHeight="1" x14ac:dyDescent="0.25"/>
    <row r="530" s="42" customFormat="1" ht="15" customHeight="1" x14ac:dyDescent="0.25"/>
    <row r="531" s="42" customFormat="1" ht="15" customHeight="1" x14ac:dyDescent="0.25"/>
    <row r="532" s="42" customFormat="1" ht="15" customHeight="1" x14ac:dyDescent="0.25"/>
    <row r="533" s="42" customFormat="1" ht="15" customHeight="1" x14ac:dyDescent="0.25"/>
    <row r="534" s="42" customFormat="1" ht="15" customHeight="1" x14ac:dyDescent="0.25"/>
    <row r="535" s="42" customFormat="1" ht="15" customHeight="1" x14ac:dyDescent="0.25"/>
    <row r="536" s="42" customFormat="1" ht="15" customHeight="1" x14ac:dyDescent="0.25"/>
    <row r="537" s="42" customFormat="1" ht="15" customHeight="1" x14ac:dyDescent="0.25"/>
    <row r="538" s="42" customFormat="1" ht="15" customHeight="1" x14ac:dyDescent="0.25"/>
    <row r="539" s="42" customFormat="1" ht="15" customHeight="1" x14ac:dyDescent="0.25"/>
    <row r="540" s="42" customFormat="1" ht="15" customHeight="1" x14ac:dyDescent="0.25"/>
    <row r="541" s="42" customFormat="1" ht="15" customHeight="1" x14ac:dyDescent="0.25"/>
    <row r="542" s="42" customFormat="1" ht="15" customHeight="1" x14ac:dyDescent="0.25"/>
    <row r="543" s="42" customFormat="1" ht="15" customHeight="1" x14ac:dyDescent="0.25"/>
    <row r="544" s="42" customFormat="1" ht="15" customHeight="1" x14ac:dyDescent="0.25"/>
    <row r="545" s="42" customFormat="1" ht="15" customHeight="1" x14ac:dyDescent="0.25"/>
    <row r="546" s="42" customFormat="1" ht="15" customHeight="1" x14ac:dyDescent="0.25"/>
    <row r="547" s="42" customFormat="1" ht="15" customHeight="1" x14ac:dyDescent="0.25"/>
    <row r="548" s="42" customFormat="1" ht="15" customHeight="1" x14ac:dyDescent="0.25"/>
    <row r="549" s="42" customFormat="1" ht="15" customHeight="1" x14ac:dyDescent="0.25"/>
    <row r="550" s="42" customFormat="1" ht="15" customHeight="1" x14ac:dyDescent="0.25"/>
    <row r="551" s="42" customFormat="1" ht="15" customHeight="1" x14ac:dyDescent="0.25"/>
    <row r="552" s="42" customFormat="1" ht="15" customHeight="1" x14ac:dyDescent="0.25"/>
    <row r="553" s="42" customFormat="1" ht="15" customHeight="1" x14ac:dyDescent="0.25"/>
    <row r="554" s="42" customFormat="1" ht="15" customHeight="1" x14ac:dyDescent="0.25"/>
    <row r="555" s="42" customFormat="1" ht="15" customHeight="1" x14ac:dyDescent="0.25"/>
    <row r="556" s="42" customFormat="1" ht="15" customHeight="1" x14ac:dyDescent="0.25"/>
    <row r="557" s="42" customFormat="1" ht="15" customHeight="1" x14ac:dyDescent="0.25"/>
    <row r="558" s="42" customFormat="1" ht="15" customHeight="1" x14ac:dyDescent="0.25"/>
    <row r="559" s="42" customFormat="1" ht="15" customHeight="1" x14ac:dyDescent="0.25"/>
    <row r="560" s="42" customFormat="1" ht="15" customHeight="1" x14ac:dyDescent="0.25"/>
    <row r="561" s="42" customFormat="1" ht="15" customHeight="1" x14ac:dyDescent="0.25"/>
    <row r="562" s="42" customFormat="1" ht="15" customHeight="1" x14ac:dyDescent="0.25"/>
    <row r="563" s="42" customFormat="1" ht="15" customHeight="1" x14ac:dyDescent="0.25"/>
    <row r="564" s="42" customFormat="1" ht="15" customHeight="1" x14ac:dyDescent="0.25"/>
    <row r="565" s="42" customFormat="1" ht="15" customHeight="1" x14ac:dyDescent="0.25"/>
    <row r="566" s="42" customFormat="1" ht="15" customHeight="1" x14ac:dyDescent="0.25"/>
    <row r="567" s="42" customFormat="1" ht="15" customHeight="1" x14ac:dyDescent="0.25"/>
    <row r="568" s="42" customFormat="1" ht="15" customHeight="1" x14ac:dyDescent="0.25"/>
    <row r="569" s="42" customFormat="1" ht="15" customHeight="1" x14ac:dyDescent="0.25"/>
    <row r="570" s="42" customFormat="1" ht="15" customHeight="1" x14ac:dyDescent="0.25"/>
    <row r="571" s="42" customFormat="1" ht="15" customHeight="1" x14ac:dyDescent="0.25"/>
    <row r="572" s="42" customFormat="1" ht="15" customHeight="1" x14ac:dyDescent="0.25"/>
    <row r="573" s="42" customFormat="1" ht="15" customHeight="1" x14ac:dyDescent="0.25"/>
    <row r="574" s="42" customFormat="1" ht="15" customHeight="1" x14ac:dyDescent="0.25"/>
    <row r="575" s="42" customFormat="1" ht="15" customHeight="1" x14ac:dyDescent="0.25"/>
    <row r="576" s="42" customFormat="1" ht="15" customHeight="1" x14ac:dyDescent="0.25"/>
    <row r="577" s="42" customFormat="1" ht="15" customHeight="1" x14ac:dyDescent="0.25"/>
    <row r="578" s="42" customFormat="1" ht="15" customHeight="1" x14ac:dyDescent="0.25"/>
    <row r="579" s="42" customFormat="1" ht="15" customHeight="1" x14ac:dyDescent="0.25"/>
    <row r="580" s="42" customFormat="1" ht="15" customHeight="1" x14ac:dyDescent="0.25"/>
    <row r="581" s="42" customFormat="1" ht="15" customHeight="1" x14ac:dyDescent="0.25"/>
    <row r="582" s="42" customFormat="1" ht="15" customHeight="1" x14ac:dyDescent="0.25"/>
    <row r="583" s="42" customFormat="1" ht="15" customHeight="1" x14ac:dyDescent="0.25"/>
    <row r="584" s="42" customFormat="1" ht="15" customHeight="1" x14ac:dyDescent="0.25"/>
    <row r="585" s="42" customFormat="1" ht="15" customHeight="1" x14ac:dyDescent="0.25"/>
    <row r="586" s="42" customFormat="1" ht="15" customHeight="1" x14ac:dyDescent="0.25"/>
    <row r="587" s="42" customFormat="1" ht="15" customHeight="1" x14ac:dyDescent="0.25"/>
    <row r="588" s="42" customFormat="1" ht="15" customHeight="1" x14ac:dyDescent="0.25"/>
    <row r="589" s="42" customFormat="1" ht="15" customHeight="1" x14ac:dyDescent="0.25"/>
    <row r="590" s="42" customFormat="1" ht="15" customHeight="1" x14ac:dyDescent="0.25"/>
    <row r="591" s="42" customFormat="1" ht="15" customHeight="1" x14ac:dyDescent="0.25"/>
    <row r="592" s="42" customFormat="1" ht="15" customHeight="1" x14ac:dyDescent="0.25"/>
    <row r="593" s="42" customFormat="1" ht="15" customHeight="1" x14ac:dyDescent="0.25"/>
    <row r="594" s="42" customFormat="1" ht="15" customHeight="1" x14ac:dyDescent="0.25"/>
    <row r="595" s="42" customFormat="1" ht="15" customHeight="1" x14ac:dyDescent="0.25"/>
    <row r="596" s="42" customFormat="1" ht="15" customHeight="1" x14ac:dyDescent="0.25"/>
    <row r="597" s="42" customFormat="1" ht="15" customHeight="1" x14ac:dyDescent="0.25"/>
    <row r="598" s="42" customFormat="1" ht="15" customHeight="1" x14ac:dyDescent="0.25"/>
    <row r="599" s="42" customFormat="1" ht="15" customHeight="1" x14ac:dyDescent="0.25"/>
    <row r="600" s="42" customFormat="1" ht="15" customHeight="1" x14ac:dyDescent="0.25"/>
    <row r="601" s="42" customFormat="1" ht="15" customHeight="1" x14ac:dyDescent="0.25"/>
    <row r="602" s="42" customFormat="1" ht="15" customHeight="1" x14ac:dyDescent="0.25"/>
    <row r="603" s="42" customFormat="1" ht="15" customHeight="1" x14ac:dyDescent="0.25"/>
    <row r="604" s="42" customFormat="1" ht="15" customHeight="1" x14ac:dyDescent="0.25"/>
    <row r="605" s="42" customFormat="1" ht="15" customHeight="1" x14ac:dyDescent="0.25"/>
    <row r="606" s="42" customFormat="1" ht="15" customHeight="1" x14ac:dyDescent="0.25"/>
    <row r="607" s="42" customFormat="1" ht="15" customHeight="1" x14ac:dyDescent="0.25"/>
    <row r="608" s="42" customFormat="1" ht="15" customHeight="1" x14ac:dyDescent="0.25"/>
    <row r="609" s="42" customFormat="1" ht="15" customHeight="1" x14ac:dyDescent="0.25"/>
    <row r="610" s="42" customFormat="1" ht="15" customHeight="1" x14ac:dyDescent="0.25"/>
    <row r="611" s="42" customFormat="1" ht="15" customHeight="1" x14ac:dyDescent="0.25"/>
    <row r="612" s="42" customFormat="1" ht="15" customHeight="1" x14ac:dyDescent="0.25"/>
    <row r="613" s="42" customFormat="1" ht="15" customHeight="1" x14ac:dyDescent="0.25"/>
    <row r="614" s="42" customFormat="1" ht="15" customHeight="1" x14ac:dyDescent="0.25"/>
    <row r="615" s="42" customFormat="1" ht="15" customHeight="1" x14ac:dyDescent="0.25"/>
    <row r="616" s="42" customFormat="1" ht="15" customHeight="1" x14ac:dyDescent="0.25"/>
    <row r="617" s="42" customFormat="1" ht="15" customHeight="1" x14ac:dyDescent="0.25"/>
    <row r="618" s="42" customFormat="1" ht="15" customHeight="1" x14ac:dyDescent="0.25"/>
    <row r="619" s="42" customFormat="1" ht="15" customHeight="1" x14ac:dyDescent="0.25"/>
    <row r="620" s="42" customFormat="1" ht="15" customHeight="1" x14ac:dyDescent="0.25"/>
    <row r="621" s="42" customFormat="1" ht="15" customHeight="1" x14ac:dyDescent="0.25"/>
    <row r="622" s="42" customFormat="1" ht="15" customHeight="1" x14ac:dyDescent="0.25"/>
    <row r="623" s="42" customFormat="1" ht="15" customHeight="1" x14ac:dyDescent="0.25"/>
    <row r="624" s="42" customFormat="1" ht="15" customHeight="1" x14ac:dyDescent="0.25"/>
    <row r="625" s="42" customFormat="1" ht="15" customHeight="1" x14ac:dyDescent="0.25"/>
    <row r="626" s="42" customFormat="1" ht="15" customHeight="1" x14ac:dyDescent="0.25"/>
    <row r="627" s="42" customFormat="1" ht="15" customHeight="1" x14ac:dyDescent="0.25"/>
    <row r="628" s="42" customFormat="1" ht="15" customHeight="1" x14ac:dyDescent="0.25"/>
    <row r="629" s="42" customFormat="1" ht="15" customHeight="1" x14ac:dyDescent="0.25"/>
    <row r="630" s="42" customFormat="1" ht="15" customHeight="1" x14ac:dyDescent="0.25"/>
    <row r="631" s="42" customFormat="1" ht="15" customHeight="1" x14ac:dyDescent="0.25"/>
    <row r="632" s="42" customFormat="1" ht="15" customHeight="1" x14ac:dyDescent="0.25"/>
    <row r="633" s="42" customFormat="1" ht="15" customHeight="1" x14ac:dyDescent="0.25"/>
    <row r="634" s="42" customFormat="1" ht="15" customHeight="1" x14ac:dyDescent="0.25"/>
    <row r="635" s="42" customFormat="1" ht="15" customHeight="1" x14ac:dyDescent="0.25"/>
    <row r="636" s="42" customFormat="1" ht="15" customHeight="1" x14ac:dyDescent="0.25"/>
    <row r="637" s="42" customFormat="1" ht="15" customHeight="1" x14ac:dyDescent="0.25"/>
    <row r="638" s="42" customFormat="1" ht="15" customHeight="1" x14ac:dyDescent="0.25"/>
    <row r="639" s="42" customFormat="1" ht="15" customHeight="1" x14ac:dyDescent="0.25"/>
    <row r="640" s="42" customFormat="1" ht="15" customHeight="1" x14ac:dyDescent="0.25"/>
    <row r="641" s="42" customFormat="1" ht="15" customHeight="1" x14ac:dyDescent="0.25"/>
    <row r="642" s="42" customFormat="1" ht="15" customHeight="1" x14ac:dyDescent="0.25"/>
    <row r="643" s="42" customFormat="1" ht="15" customHeight="1" x14ac:dyDescent="0.25"/>
    <row r="644" s="42" customFormat="1" ht="15" customHeight="1" x14ac:dyDescent="0.25"/>
    <row r="645" s="42" customFormat="1" ht="15" customHeight="1" x14ac:dyDescent="0.25"/>
    <row r="646" s="42" customFormat="1" ht="15" customHeight="1" x14ac:dyDescent="0.25"/>
    <row r="647" s="42" customFormat="1" ht="15" customHeight="1" x14ac:dyDescent="0.25"/>
    <row r="648" s="42" customFormat="1" ht="15" customHeight="1" x14ac:dyDescent="0.25"/>
    <row r="649" s="42" customFormat="1" ht="15" customHeight="1" x14ac:dyDescent="0.25"/>
    <row r="650" s="42" customFormat="1" ht="15" customHeight="1" x14ac:dyDescent="0.25"/>
    <row r="651" s="42" customFormat="1" ht="15" customHeight="1" x14ac:dyDescent="0.25"/>
    <row r="652" s="42" customFormat="1" ht="15" customHeight="1" x14ac:dyDescent="0.25"/>
    <row r="653" s="42" customFormat="1" ht="15" customHeight="1" x14ac:dyDescent="0.25"/>
    <row r="654" s="42" customFormat="1" ht="15" customHeight="1" x14ac:dyDescent="0.25"/>
    <row r="655" s="42" customFormat="1" ht="15" customHeight="1" x14ac:dyDescent="0.25"/>
    <row r="656" s="42" customFormat="1" ht="15" customHeight="1" x14ac:dyDescent="0.25"/>
    <row r="657" s="42" customFormat="1" ht="15" customHeight="1" x14ac:dyDescent="0.25"/>
    <row r="658" s="42" customFormat="1" ht="15" customHeight="1" x14ac:dyDescent="0.25"/>
    <row r="659" s="42" customFormat="1" ht="15" customHeight="1" x14ac:dyDescent="0.25"/>
    <row r="660" s="42" customFormat="1" ht="15" customHeight="1" x14ac:dyDescent="0.25"/>
    <row r="661" s="42" customFormat="1" ht="15" customHeight="1" x14ac:dyDescent="0.25"/>
    <row r="662" s="42" customFormat="1" ht="15" customHeight="1" x14ac:dyDescent="0.25"/>
    <row r="663" s="42" customFormat="1" ht="15" customHeight="1" x14ac:dyDescent="0.25"/>
    <row r="664" s="42" customFormat="1" ht="15" customHeight="1" x14ac:dyDescent="0.25"/>
    <row r="665" s="42" customFormat="1" ht="15" customHeight="1" x14ac:dyDescent="0.25"/>
    <row r="666" s="42" customFormat="1" ht="15" customHeight="1" x14ac:dyDescent="0.25"/>
    <row r="667" s="42" customFormat="1" ht="15" customHeight="1" x14ac:dyDescent="0.25"/>
    <row r="668" s="42" customFormat="1" ht="15" customHeight="1" x14ac:dyDescent="0.25"/>
    <row r="669" s="42" customFormat="1" ht="15" customHeight="1" x14ac:dyDescent="0.25"/>
    <row r="670" s="42" customFormat="1" ht="15" customHeight="1" x14ac:dyDescent="0.25"/>
    <row r="671" s="42" customFormat="1" ht="15" customHeight="1" x14ac:dyDescent="0.25"/>
    <row r="672" s="42" customFormat="1" ht="15" customHeight="1" x14ac:dyDescent="0.25"/>
    <row r="673" s="42" customFormat="1" ht="15" customHeight="1" x14ac:dyDescent="0.25"/>
    <row r="674" s="42" customFormat="1" ht="15" customHeight="1" x14ac:dyDescent="0.25"/>
    <row r="675" s="42" customFormat="1" ht="15" customHeight="1" x14ac:dyDescent="0.25"/>
    <row r="676" s="42" customFormat="1" ht="15" customHeight="1" x14ac:dyDescent="0.25"/>
    <row r="677" s="42" customFormat="1" ht="15" customHeight="1" x14ac:dyDescent="0.25"/>
    <row r="678" s="42" customFormat="1" ht="15" customHeight="1" x14ac:dyDescent="0.25"/>
    <row r="679" s="42" customFormat="1" ht="15" customHeight="1" x14ac:dyDescent="0.25"/>
    <row r="680" s="42" customFormat="1" ht="15" customHeight="1" x14ac:dyDescent="0.25"/>
    <row r="681" s="42" customFormat="1" ht="15" customHeight="1" x14ac:dyDescent="0.25"/>
    <row r="682" s="42" customFormat="1" ht="15" customHeight="1" x14ac:dyDescent="0.25"/>
    <row r="683" s="42" customFormat="1" ht="15" customHeight="1" x14ac:dyDescent="0.25"/>
    <row r="684" s="42" customFormat="1" ht="15" customHeight="1" x14ac:dyDescent="0.25"/>
    <row r="685" s="42" customFormat="1" ht="15" customHeight="1" x14ac:dyDescent="0.25"/>
    <row r="686" s="42" customFormat="1" ht="15" customHeight="1" x14ac:dyDescent="0.25"/>
    <row r="687" s="42" customFormat="1" ht="15" customHeight="1" x14ac:dyDescent="0.25"/>
    <row r="688" s="42" customFormat="1" ht="15" customHeight="1" x14ac:dyDescent="0.25"/>
    <row r="689" s="42" customFormat="1" ht="15" customHeight="1" x14ac:dyDescent="0.25"/>
    <row r="690" s="42" customFormat="1" ht="15" customHeight="1" x14ac:dyDescent="0.25"/>
    <row r="691" s="42" customFormat="1" ht="15" customHeight="1" x14ac:dyDescent="0.25"/>
    <row r="692" s="42" customFormat="1" ht="15" customHeight="1" x14ac:dyDescent="0.25"/>
    <row r="693" s="42" customFormat="1" ht="15" customHeight="1" x14ac:dyDescent="0.25"/>
    <row r="694" s="42" customFormat="1" ht="15" customHeight="1" x14ac:dyDescent="0.25"/>
    <row r="695" s="42" customFormat="1" ht="15" customHeight="1" x14ac:dyDescent="0.25"/>
    <row r="696" s="42" customFormat="1" ht="15" customHeight="1" x14ac:dyDescent="0.25"/>
    <row r="697" s="42" customFormat="1" ht="15" customHeight="1" x14ac:dyDescent="0.25"/>
    <row r="698" s="42" customFormat="1" ht="15" customHeight="1" x14ac:dyDescent="0.25"/>
    <row r="699" s="42" customFormat="1" ht="15" customHeight="1" x14ac:dyDescent="0.25"/>
    <row r="700" s="42" customFormat="1" ht="15" customHeight="1" x14ac:dyDescent="0.25"/>
    <row r="701" s="42" customFormat="1" ht="15" customHeight="1" x14ac:dyDescent="0.25"/>
    <row r="702" s="42" customFormat="1" ht="15" customHeight="1" x14ac:dyDescent="0.25"/>
    <row r="703" s="42" customFormat="1" ht="15" customHeight="1" x14ac:dyDescent="0.25"/>
    <row r="704" s="42" customFormat="1" ht="15" customHeight="1" x14ac:dyDescent="0.25"/>
    <row r="705" s="42" customFormat="1" ht="15" customHeight="1" x14ac:dyDescent="0.25"/>
    <row r="706" s="42" customFormat="1" ht="15" customHeight="1" x14ac:dyDescent="0.25"/>
    <row r="707" s="42" customFormat="1" ht="15" customHeight="1" x14ac:dyDescent="0.25"/>
    <row r="708" s="42" customFormat="1" ht="15" customHeight="1" x14ac:dyDescent="0.25"/>
    <row r="709" s="42" customFormat="1" ht="15" customHeight="1" x14ac:dyDescent="0.25"/>
    <row r="710" s="42" customFormat="1" ht="15" customHeight="1" x14ac:dyDescent="0.25"/>
    <row r="711" s="42" customFormat="1" ht="15" customHeight="1" x14ac:dyDescent="0.25"/>
    <row r="712" s="42" customFormat="1" ht="15" customHeight="1" x14ac:dyDescent="0.25"/>
    <row r="713" s="42" customFormat="1" ht="15" customHeight="1" x14ac:dyDescent="0.25"/>
    <row r="714" s="42" customFormat="1" ht="15" customHeight="1" x14ac:dyDescent="0.25"/>
    <row r="715" s="42" customFormat="1" ht="15" customHeight="1" x14ac:dyDescent="0.25"/>
    <row r="716" s="42" customFormat="1" ht="15" customHeight="1" x14ac:dyDescent="0.25"/>
    <row r="717" s="42" customFormat="1" ht="15" customHeight="1" x14ac:dyDescent="0.25"/>
    <row r="718" s="42" customFormat="1" ht="15" customHeight="1" x14ac:dyDescent="0.25"/>
    <row r="719" s="42" customFormat="1" ht="15" customHeight="1" x14ac:dyDescent="0.25"/>
    <row r="720" s="42" customFormat="1" ht="15" customHeight="1" x14ac:dyDescent="0.25"/>
    <row r="721" s="42" customFormat="1" ht="15" customHeight="1" x14ac:dyDescent="0.25"/>
    <row r="722" s="42" customFormat="1" ht="15" customHeight="1" x14ac:dyDescent="0.25"/>
    <row r="723" s="42" customFormat="1" ht="15" customHeight="1" x14ac:dyDescent="0.25"/>
    <row r="724" s="42" customFormat="1" ht="15" customHeight="1" x14ac:dyDescent="0.25"/>
    <row r="725" s="42" customFormat="1" ht="15" customHeight="1" x14ac:dyDescent="0.25"/>
    <row r="726" s="42" customFormat="1" ht="15" customHeight="1" x14ac:dyDescent="0.25"/>
    <row r="727" s="42" customFormat="1" ht="15" customHeight="1" x14ac:dyDescent="0.25"/>
    <row r="728" s="42" customFormat="1" ht="15" customHeight="1" x14ac:dyDescent="0.25"/>
    <row r="729" s="42" customFormat="1" ht="15" customHeight="1" x14ac:dyDescent="0.25"/>
    <row r="730" s="42" customFormat="1" ht="15" customHeight="1" x14ac:dyDescent="0.25"/>
    <row r="731" s="42" customFormat="1" ht="15" customHeight="1" x14ac:dyDescent="0.25"/>
    <row r="732" s="42" customFormat="1" ht="15" customHeight="1" x14ac:dyDescent="0.25"/>
    <row r="733" s="42" customFormat="1" ht="15" customHeight="1" x14ac:dyDescent="0.25"/>
    <row r="734" s="42" customFormat="1" ht="15" customHeight="1" x14ac:dyDescent="0.25"/>
    <row r="735" s="42" customFormat="1" ht="15" customHeight="1" x14ac:dyDescent="0.25"/>
    <row r="736" s="42" customFormat="1" ht="15" customHeight="1" x14ac:dyDescent="0.25"/>
    <row r="737" s="42" customFormat="1" ht="15" customHeight="1" x14ac:dyDescent="0.25"/>
    <row r="738" s="42" customFormat="1" ht="15" customHeight="1" x14ac:dyDescent="0.25"/>
    <row r="739" s="42" customFormat="1" ht="15" customHeight="1" x14ac:dyDescent="0.25"/>
    <row r="740" s="42" customFormat="1" ht="15" customHeight="1" x14ac:dyDescent="0.25"/>
    <row r="741" s="42" customFormat="1" ht="15" customHeight="1" x14ac:dyDescent="0.25"/>
    <row r="742" s="42" customFormat="1" ht="15" customHeight="1" x14ac:dyDescent="0.25"/>
    <row r="743" s="42" customFormat="1" ht="15" customHeight="1" x14ac:dyDescent="0.25"/>
    <row r="744" s="42" customFormat="1" ht="15" customHeight="1" x14ac:dyDescent="0.25"/>
    <row r="745" s="42" customFormat="1" ht="15" customHeight="1" x14ac:dyDescent="0.25"/>
    <row r="746" s="42" customFormat="1" ht="15" customHeight="1" x14ac:dyDescent="0.25"/>
    <row r="747" s="42" customFormat="1" ht="15" customHeight="1" x14ac:dyDescent="0.25"/>
    <row r="748" s="42" customFormat="1" ht="15" customHeight="1" x14ac:dyDescent="0.25"/>
    <row r="749" s="42" customFormat="1" ht="15" customHeight="1" x14ac:dyDescent="0.25"/>
    <row r="750" s="42" customFormat="1" ht="15" customHeight="1" x14ac:dyDescent="0.25"/>
    <row r="751" s="42" customFormat="1" ht="15" customHeight="1" x14ac:dyDescent="0.25"/>
    <row r="752" s="42" customFormat="1" ht="15" customHeight="1" x14ac:dyDescent="0.25"/>
    <row r="753" s="42" customFormat="1" ht="15" customHeight="1" x14ac:dyDescent="0.25"/>
    <row r="754" s="42" customFormat="1" ht="15" customHeight="1" x14ac:dyDescent="0.25"/>
    <row r="755" s="42" customFormat="1" ht="15" customHeight="1" x14ac:dyDescent="0.25"/>
    <row r="756" s="42" customFormat="1" ht="15" customHeight="1" x14ac:dyDescent="0.25"/>
    <row r="757" s="42" customFormat="1" ht="15" customHeight="1" x14ac:dyDescent="0.25"/>
    <row r="758" s="42" customFormat="1" ht="15" customHeight="1" x14ac:dyDescent="0.25"/>
    <row r="759" s="42" customFormat="1" ht="15" customHeight="1" x14ac:dyDescent="0.25"/>
    <row r="760" s="42" customFormat="1" ht="15" customHeight="1" x14ac:dyDescent="0.25"/>
    <row r="761" s="42" customFormat="1" ht="15" customHeight="1" x14ac:dyDescent="0.25"/>
    <row r="762" s="42" customFormat="1" ht="15" customHeight="1" x14ac:dyDescent="0.25"/>
    <row r="763" s="42" customFormat="1" ht="15" customHeight="1" x14ac:dyDescent="0.25"/>
    <row r="764" s="42" customFormat="1" ht="15" customHeight="1" x14ac:dyDescent="0.25"/>
    <row r="765" s="42" customFormat="1" ht="15" customHeight="1" x14ac:dyDescent="0.25"/>
    <row r="766" s="42" customFormat="1" ht="15" customHeight="1" x14ac:dyDescent="0.25"/>
    <row r="767" s="42" customFormat="1" ht="15" customHeight="1" x14ac:dyDescent="0.25"/>
    <row r="768" s="42" customFormat="1" ht="15" customHeight="1" x14ac:dyDescent="0.25"/>
    <row r="769" s="42" customFormat="1" ht="15" customHeight="1" x14ac:dyDescent="0.25"/>
    <row r="770" s="42" customFormat="1" ht="15" customHeight="1" x14ac:dyDescent="0.25"/>
    <row r="771" s="42" customFormat="1" ht="15" customHeight="1" x14ac:dyDescent="0.25"/>
    <row r="772" s="42" customFormat="1" ht="15" customHeight="1" x14ac:dyDescent="0.25"/>
    <row r="773" s="42" customFormat="1" ht="15" customHeight="1" x14ac:dyDescent="0.25"/>
    <row r="774" s="42" customFormat="1" ht="15" customHeight="1" x14ac:dyDescent="0.25"/>
    <row r="775" s="42" customFormat="1" ht="15" customHeight="1" x14ac:dyDescent="0.25"/>
    <row r="776" s="42" customFormat="1" ht="15" customHeight="1" x14ac:dyDescent="0.25"/>
    <row r="777" s="42" customFormat="1" ht="15" customHeight="1" x14ac:dyDescent="0.25"/>
    <row r="778" s="42" customFormat="1" ht="15" customHeight="1" x14ac:dyDescent="0.25"/>
    <row r="779" s="42" customFormat="1" ht="15" customHeight="1" x14ac:dyDescent="0.25"/>
    <row r="780" s="42" customFormat="1" ht="15" customHeight="1" x14ac:dyDescent="0.25"/>
    <row r="781" s="42" customFormat="1" ht="15" customHeight="1" x14ac:dyDescent="0.25"/>
    <row r="782" s="42" customFormat="1" ht="15" customHeight="1" x14ac:dyDescent="0.25"/>
    <row r="783" s="42" customFormat="1" ht="15" customHeight="1" x14ac:dyDescent="0.25"/>
    <row r="784" s="42" customFormat="1" ht="15" customHeight="1" x14ac:dyDescent="0.25"/>
    <row r="785" s="42" customFormat="1" ht="15" customHeight="1" x14ac:dyDescent="0.25"/>
    <row r="786" s="42" customFormat="1" ht="15" customHeight="1" x14ac:dyDescent="0.25"/>
    <row r="787" s="42" customFormat="1" ht="15" customHeight="1" x14ac:dyDescent="0.25"/>
    <row r="788" s="42" customFormat="1" ht="15" customHeight="1" x14ac:dyDescent="0.25"/>
    <row r="789" s="42" customFormat="1" ht="15" customHeight="1" x14ac:dyDescent="0.25"/>
    <row r="790" s="42" customFormat="1" ht="15" customHeight="1" x14ac:dyDescent="0.25"/>
    <row r="791" s="42" customFormat="1" ht="15" customHeight="1" x14ac:dyDescent="0.25"/>
    <row r="792" s="42" customFormat="1" ht="15" customHeight="1" x14ac:dyDescent="0.25"/>
    <row r="793" s="42" customFormat="1" ht="15" customHeight="1" x14ac:dyDescent="0.25"/>
    <row r="794" s="42" customFormat="1" ht="15" customHeight="1" x14ac:dyDescent="0.25"/>
    <row r="795" s="42" customFormat="1" ht="15" customHeight="1" x14ac:dyDescent="0.25"/>
    <row r="796" s="42" customFormat="1" ht="15" customHeight="1" x14ac:dyDescent="0.25"/>
    <row r="797" s="42" customFormat="1" ht="15" customHeight="1" x14ac:dyDescent="0.25"/>
    <row r="798" s="42" customFormat="1" ht="15" customHeight="1" x14ac:dyDescent="0.25"/>
    <row r="799" s="42" customFormat="1" ht="15" customHeight="1" x14ac:dyDescent="0.25"/>
    <row r="800" s="42" customFormat="1" ht="15" customHeight="1" x14ac:dyDescent="0.25"/>
    <row r="801" s="42" customFormat="1" ht="15" customHeight="1" x14ac:dyDescent="0.25"/>
    <row r="802" s="42" customFormat="1" ht="15" customHeight="1" x14ac:dyDescent="0.25"/>
    <row r="803" s="42" customFormat="1" ht="15" customHeight="1" x14ac:dyDescent="0.25"/>
    <row r="804" s="42" customFormat="1" ht="15" customHeight="1" x14ac:dyDescent="0.25"/>
    <row r="805" s="42" customFormat="1" ht="15" customHeight="1" x14ac:dyDescent="0.25"/>
    <row r="806" s="42" customFormat="1" ht="15" customHeight="1" x14ac:dyDescent="0.25"/>
    <row r="807" s="42" customFormat="1" ht="15" customHeight="1" x14ac:dyDescent="0.25"/>
    <row r="808" s="42" customFormat="1" ht="15" customHeight="1" x14ac:dyDescent="0.25"/>
    <row r="809" s="42" customFormat="1" ht="15" customHeight="1" x14ac:dyDescent="0.25"/>
    <row r="810" s="42" customFormat="1" ht="15" customHeight="1" x14ac:dyDescent="0.25"/>
    <row r="811" s="42" customFormat="1" ht="15" customHeight="1" x14ac:dyDescent="0.25"/>
    <row r="812" s="42" customFormat="1" ht="15" customHeight="1" x14ac:dyDescent="0.25"/>
    <row r="813" s="42" customFormat="1" ht="15" customHeight="1" x14ac:dyDescent="0.25"/>
    <row r="814" s="42" customFormat="1" ht="15" customHeight="1" x14ac:dyDescent="0.25"/>
    <row r="815" s="42" customFormat="1" ht="15" customHeight="1" x14ac:dyDescent="0.25"/>
    <row r="816" s="42" customFormat="1" ht="15" customHeight="1" x14ac:dyDescent="0.25"/>
    <row r="817" s="42" customFormat="1" ht="15" customHeight="1" x14ac:dyDescent="0.25"/>
    <row r="818" s="42" customFormat="1" ht="15" customHeight="1" x14ac:dyDescent="0.25"/>
    <row r="819" s="42" customFormat="1" ht="15" customHeight="1" x14ac:dyDescent="0.25"/>
    <row r="820" s="42" customFormat="1" ht="15" customHeight="1" x14ac:dyDescent="0.25"/>
    <row r="821" s="42" customFormat="1" ht="15" customHeight="1" x14ac:dyDescent="0.25"/>
    <row r="822" s="42" customFormat="1" ht="15" customHeight="1" x14ac:dyDescent="0.25"/>
    <row r="823" s="42" customFormat="1" ht="15" customHeight="1" x14ac:dyDescent="0.25"/>
    <row r="824" s="42" customFormat="1" ht="15" customHeight="1" x14ac:dyDescent="0.25"/>
    <row r="825" s="42" customFormat="1" ht="15" customHeight="1" x14ac:dyDescent="0.25"/>
    <row r="826" s="42" customFormat="1" ht="15" customHeight="1" x14ac:dyDescent="0.25"/>
    <row r="827" s="42" customFormat="1" ht="15" customHeight="1" x14ac:dyDescent="0.25"/>
    <row r="828" s="42" customFormat="1" ht="15" customHeight="1" x14ac:dyDescent="0.25"/>
    <row r="829" s="42" customFormat="1" ht="15" customHeight="1" x14ac:dyDescent="0.25"/>
    <row r="830" s="42" customFormat="1" ht="15" customHeight="1" x14ac:dyDescent="0.25"/>
    <row r="831" s="42" customFormat="1" ht="15" customHeight="1" x14ac:dyDescent="0.25"/>
    <row r="832" s="42" customFormat="1" ht="15" customHeight="1" x14ac:dyDescent="0.25"/>
    <row r="833" s="42" customFormat="1" ht="15" customHeight="1" x14ac:dyDescent="0.25"/>
    <row r="834" s="42" customFormat="1" ht="15" customHeight="1" x14ac:dyDescent="0.25"/>
    <row r="835" s="42" customFormat="1" ht="15" customHeight="1" x14ac:dyDescent="0.25"/>
    <row r="836" s="42" customFormat="1" ht="15" customHeight="1" x14ac:dyDescent="0.25"/>
    <row r="837" s="42" customFormat="1" ht="15" customHeight="1" x14ac:dyDescent="0.25"/>
    <row r="838" s="42" customFormat="1" ht="15" customHeight="1" x14ac:dyDescent="0.25"/>
    <row r="839" s="42" customFormat="1" ht="15" customHeight="1" x14ac:dyDescent="0.25"/>
    <row r="840" s="42" customFormat="1" ht="15" customHeight="1" x14ac:dyDescent="0.25"/>
    <row r="841" s="42" customFormat="1" ht="15" customHeight="1" x14ac:dyDescent="0.25"/>
    <row r="842" s="42" customFormat="1" ht="15" customHeight="1" x14ac:dyDescent="0.25"/>
    <row r="843" s="42" customFormat="1" ht="15" customHeight="1" x14ac:dyDescent="0.25"/>
    <row r="844" s="42" customFormat="1" ht="15" customHeight="1" x14ac:dyDescent="0.25"/>
    <row r="845" s="42" customFormat="1" ht="15" customHeight="1" x14ac:dyDescent="0.25"/>
    <row r="846" s="42" customFormat="1" ht="15" customHeight="1" x14ac:dyDescent="0.25"/>
    <row r="847" s="42" customFormat="1" ht="15" customHeight="1" x14ac:dyDescent="0.25"/>
    <row r="848" s="42" customFormat="1" ht="15" customHeight="1" x14ac:dyDescent="0.25"/>
    <row r="849" s="42" customFormat="1" ht="15" customHeight="1" x14ac:dyDescent="0.25"/>
    <row r="850" s="42" customFormat="1" ht="15" customHeight="1" x14ac:dyDescent="0.25"/>
    <row r="851" s="42" customFormat="1" ht="15" customHeight="1" x14ac:dyDescent="0.25"/>
    <row r="852" s="42" customFormat="1" ht="15" customHeight="1" x14ac:dyDescent="0.25"/>
    <row r="853" s="42" customFormat="1" ht="15" customHeight="1" x14ac:dyDescent="0.25"/>
    <row r="854" s="42" customFormat="1" ht="15" customHeight="1" x14ac:dyDescent="0.25"/>
    <row r="855" s="42" customFormat="1" ht="15" customHeight="1" x14ac:dyDescent="0.25"/>
    <row r="856" s="42" customFormat="1" ht="15" customHeight="1" x14ac:dyDescent="0.25"/>
    <row r="857" s="42" customFormat="1" ht="15" customHeight="1" x14ac:dyDescent="0.25"/>
    <row r="858" s="42" customFormat="1" ht="15" customHeight="1" x14ac:dyDescent="0.25"/>
    <row r="859" s="42" customFormat="1" ht="15" customHeight="1" x14ac:dyDescent="0.25"/>
    <row r="860" s="42" customFormat="1" ht="15" customHeight="1" x14ac:dyDescent="0.25"/>
    <row r="861" s="42" customFormat="1" ht="15" customHeight="1" x14ac:dyDescent="0.25"/>
    <row r="862" s="42" customFormat="1" ht="15" customHeight="1" x14ac:dyDescent="0.25"/>
    <row r="863" s="42" customFormat="1" ht="15" customHeight="1" x14ac:dyDescent="0.25"/>
    <row r="864" s="42" customFormat="1" ht="15" customHeight="1" x14ac:dyDescent="0.25"/>
    <row r="865" s="42" customFormat="1" ht="15" customHeight="1" x14ac:dyDescent="0.25"/>
    <row r="866" s="42" customFormat="1" ht="15" customHeight="1" x14ac:dyDescent="0.25"/>
    <row r="867" s="42" customFormat="1" ht="15" customHeight="1" x14ac:dyDescent="0.25"/>
    <row r="868" s="42" customFormat="1" ht="15" customHeight="1" x14ac:dyDescent="0.25"/>
    <row r="869" s="42" customFormat="1" ht="15" customHeight="1" x14ac:dyDescent="0.25"/>
    <row r="870" s="42" customFormat="1" ht="15" customHeight="1" x14ac:dyDescent="0.25"/>
    <row r="871" s="42" customFormat="1" ht="15" customHeight="1" x14ac:dyDescent="0.25"/>
    <row r="872" s="42" customFormat="1" ht="15" customHeight="1" x14ac:dyDescent="0.25"/>
    <row r="873" s="42" customFormat="1" ht="15" customHeight="1" x14ac:dyDescent="0.25"/>
    <row r="874" s="42" customFormat="1" ht="15" customHeight="1" x14ac:dyDescent="0.25"/>
    <row r="875" s="42" customFormat="1" ht="15" customHeight="1" x14ac:dyDescent="0.25"/>
    <row r="876" s="42" customFormat="1" ht="15" customHeight="1" x14ac:dyDescent="0.25"/>
    <row r="877" s="42" customFormat="1" ht="15" customHeight="1" x14ac:dyDescent="0.25"/>
    <row r="878" s="42" customFormat="1" ht="15" customHeight="1" x14ac:dyDescent="0.25"/>
    <row r="879" s="42" customFormat="1" ht="15" customHeight="1" x14ac:dyDescent="0.25"/>
    <row r="880" s="42" customFormat="1" ht="15" customHeight="1" x14ac:dyDescent="0.25"/>
    <row r="881" s="42" customFormat="1" ht="15" customHeight="1" x14ac:dyDescent="0.25"/>
    <row r="882" s="42" customFormat="1" ht="15" customHeight="1" x14ac:dyDescent="0.25"/>
    <row r="883" s="42" customFormat="1" ht="15" customHeight="1" x14ac:dyDescent="0.25"/>
    <row r="884" s="42" customFormat="1" ht="15" customHeight="1" x14ac:dyDescent="0.25"/>
    <row r="885" s="42" customFormat="1" ht="15" customHeight="1" x14ac:dyDescent="0.25"/>
    <row r="886" s="42" customFormat="1" ht="15" customHeight="1" x14ac:dyDescent="0.25"/>
    <row r="887" s="42" customFormat="1" ht="15" customHeight="1" x14ac:dyDescent="0.25"/>
    <row r="888" s="42" customFormat="1" ht="15" customHeight="1" x14ac:dyDescent="0.25"/>
    <row r="889" s="42" customFormat="1" ht="15" customHeight="1" x14ac:dyDescent="0.25"/>
    <row r="890" s="42" customFormat="1" ht="15" customHeight="1" x14ac:dyDescent="0.25"/>
    <row r="891" s="42" customFormat="1" ht="15" customHeight="1" x14ac:dyDescent="0.25"/>
    <row r="892" s="42" customFormat="1" ht="15" customHeight="1" x14ac:dyDescent="0.25"/>
    <row r="893" s="42" customFormat="1" ht="15" customHeight="1" x14ac:dyDescent="0.25"/>
    <row r="894" s="42" customFormat="1" ht="15" customHeight="1" x14ac:dyDescent="0.25"/>
    <row r="895" s="42" customFormat="1" ht="15" customHeight="1" x14ac:dyDescent="0.25"/>
    <row r="896" s="42" customFormat="1" ht="15" customHeight="1" x14ac:dyDescent="0.25"/>
    <row r="897" s="42" customFormat="1" ht="15" customHeight="1" x14ac:dyDescent="0.25"/>
    <row r="898" s="42" customFormat="1" ht="15" customHeight="1" x14ac:dyDescent="0.25"/>
    <row r="899" s="42" customFormat="1" ht="15" customHeight="1" x14ac:dyDescent="0.25"/>
    <row r="900" s="42" customFormat="1" ht="15" customHeight="1" x14ac:dyDescent="0.25"/>
    <row r="901" s="42" customFormat="1" ht="15" customHeight="1" x14ac:dyDescent="0.25"/>
    <row r="902" s="42" customFormat="1" ht="15" customHeight="1" x14ac:dyDescent="0.25"/>
    <row r="903" s="42" customFormat="1" ht="15" customHeight="1" x14ac:dyDescent="0.25"/>
    <row r="904" s="42" customFormat="1" ht="15" customHeight="1" x14ac:dyDescent="0.25"/>
    <row r="905" s="42" customFormat="1" ht="15" customHeight="1" x14ac:dyDescent="0.25"/>
    <row r="906" s="42" customFormat="1" ht="15" customHeight="1" x14ac:dyDescent="0.25"/>
    <row r="907" s="42" customFormat="1" ht="15" customHeight="1" x14ac:dyDescent="0.25"/>
    <row r="908" s="42" customFormat="1" ht="15" customHeight="1" x14ac:dyDescent="0.25"/>
    <row r="909" s="42" customFormat="1" ht="15" customHeight="1" x14ac:dyDescent="0.25"/>
    <row r="910" s="42" customFormat="1" ht="15" customHeight="1" x14ac:dyDescent="0.25"/>
    <row r="911" s="42" customFormat="1" ht="15" customHeight="1" x14ac:dyDescent="0.25"/>
    <row r="912" s="42" customFormat="1" ht="15" customHeight="1" x14ac:dyDescent="0.25"/>
    <row r="913" s="42" customFormat="1" ht="15" customHeight="1" x14ac:dyDescent="0.25"/>
    <row r="914" s="42" customFormat="1" ht="15" customHeight="1" x14ac:dyDescent="0.25"/>
    <row r="915" s="42" customFormat="1" ht="15" customHeight="1" x14ac:dyDescent="0.25"/>
    <row r="916" s="42" customFormat="1" ht="15" customHeight="1" x14ac:dyDescent="0.25"/>
    <row r="917" s="42" customFormat="1" ht="15" customHeight="1" x14ac:dyDescent="0.25"/>
    <row r="918" s="42" customFormat="1" ht="15" customHeight="1" x14ac:dyDescent="0.25"/>
    <row r="919" s="42" customFormat="1" ht="15" customHeight="1" x14ac:dyDescent="0.25"/>
    <row r="920" s="42" customFormat="1" ht="15" customHeight="1" x14ac:dyDescent="0.25"/>
    <row r="921" s="42" customFormat="1" ht="15" customHeight="1" x14ac:dyDescent="0.25"/>
    <row r="922" s="42" customFormat="1" ht="15" customHeight="1" x14ac:dyDescent="0.25"/>
    <row r="923" s="42" customFormat="1" ht="15" customHeight="1" x14ac:dyDescent="0.25"/>
    <row r="924" s="42" customFormat="1" ht="15" customHeight="1" x14ac:dyDescent="0.25"/>
    <row r="925" s="42" customFormat="1" ht="15" customHeight="1" x14ac:dyDescent="0.25"/>
    <row r="926" s="42" customFormat="1" ht="15" customHeight="1" x14ac:dyDescent="0.25"/>
    <row r="927" s="42" customFormat="1" ht="15" customHeight="1" x14ac:dyDescent="0.25"/>
    <row r="928" s="42" customFormat="1" ht="15" customHeight="1" x14ac:dyDescent="0.25"/>
    <row r="929" s="42" customFormat="1" ht="15" customHeight="1" x14ac:dyDescent="0.25"/>
    <row r="930" s="42" customFormat="1" ht="15" customHeight="1" x14ac:dyDescent="0.25"/>
    <row r="931" s="42" customFormat="1" ht="15" customHeight="1" x14ac:dyDescent="0.25"/>
    <row r="932" s="42" customFormat="1" ht="15" customHeight="1" x14ac:dyDescent="0.25"/>
    <row r="933" s="42" customFormat="1" ht="15" customHeight="1" x14ac:dyDescent="0.25"/>
    <row r="934" s="42" customFormat="1" ht="15" customHeight="1" x14ac:dyDescent="0.25"/>
    <row r="935" s="42" customFormat="1" ht="15" customHeight="1" x14ac:dyDescent="0.25"/>
    <row r="936" s="42" customFormat="1" ht="15" customHeight="1" x14ac:dyDescent="0.25"/>
    <row r="937" s="42" customFormat="1" ht="15" customHeight="1" x14ac:dyDescent="0.25"/>
    <row r="938" s="42" customFormat="1" ht="15" customHeight="1" x14ac:dyDescent="0.25"/>
    <row r="939" s="42" customFormat="1" ht="15" customHeight="1" x14ac:dyDescent="0.25"/>
    <row r="940" s="42" customFormat="1" ht="15" customHeight="1" x14ac:dyDescent="0.25"/>
    <row r="941" s="42" customFormat="1" ht="15" customHeight="1" x14ac:dyDescent="0.25"/>
    <row r="942" s="42" customFormat="1" ht="15" customHeight="1" x14ac:dyDescent="0.25"/>
    <row r="943" s="42" customFormat="1" ht="15" customHeight="1" x14ac:dyDescent="0.25"/>
    <row r="944" s="42" customFormat="1" ht="15" customHeight="1" x14ac:dyDescent="0.25"/>
    <row r="945" s="42" customFormat="1" ht="15" customHeight="1" x14ac:dyDescent="0.25"/>
    <row r="946" s="42" customFormat="1" ht="15" customHeight="1" x14ac:dyDescent="0.25"/>
    <row r="947" s="42" customFormat="1" ht="15" customHeight="1" x14ac:dyDescent="0.25"/>
    <row r="948" s="42" customFormat="1" ht="15" customHeight="1" x14ac:dyDescent="0.25"/>
    <row r="949" s="42" customFormat="1" ht="15" customHeight="1" x14ac:dyDescent="0.25"/>
    <row r="950" s="42" customFormat="1" ht="15" customHeight="1" x14ac:dyDescent="0.25"/>
    <row r="951" s="42" customFormat="1" ht="15" customHeight="1" x14ac:dyDescent="0.25"/>
    <row r="952" s="42" customFormat="1" ht="15" customHeight="1" x14ac:dyDescent="0.25"/>
    <row r="953" s="42" customFormat="1" ht="15" customHeight="1" x14ac:dyDescent="0.25"/>
    <row r="954" s="42" customFormat="1" ht="15" customHeight="1" x14ac:dyDescent="0.25"/>
    <row r="955" s="42" customFormat="1" ht="15" customHeight="1" x14ac:dyDescent="0.25"/>
    <row r="956" s="42" customFormat="1" ht="15" customHeight="1" x14ac:dyDescent="0.25"/>
    <row r="957" s="42" customFormat="1" ht="15" customHeight="1" x14ac:dyDescent="0.25"/>
    <row r="958" s="42" customFormat="1" ht="15" customHeight="1" x14ac:dyDescent="0.25"/>
    <row r="959" s="42" customFormat="1" ht="15" customHeight="1" x14ac:dyDescent="0.25"/>
    <row r="960" s="42" customFormat="1" ht="15" customHeight="1" x14ac:dyDescent="0.25"/>
    <row r="961" s="42" customFormat="1" ht="15" customHeight="1" x14ac:dyDescent="0.25"/>
    <row r="962" s="42" customFormat="1" ht="15" customHeight="1" x14ac:dyDescent="0.25"/>
    <row r="963" s="42" customFormat="1" ht="15" customHeight="1" x14ac:dyDescent="0.25"/>
    <row r="964" s="42" customFormat="1" ht="15" customHeight="1" x14ac:dyDescent="0.25"/>
    <row r="965" s="42" customFormat="1" ht="15" customHeight="1" x14ac:dyDescent="0.25"/>
    <row r="966" s="42" customFormat="1" ht="15" customHeight="1" x14ac:dyDescent="0.25"/>
    <row r="967" s="42" customFormat="1" ht="15" customHeight="1" x14ac:dyDescent="0.25"/>
    <row r="968" s="42" customFormat="1" ht="15" customHeight="1" x14ac:dyDescent="0.25"/>
    <row r="969" s="42" customFormat="1" ht="15" customHeight="1" x14ac:dyDescent="0.25"/>
    <row r="970" s="42" customFormat="1" ht="15" customHeight="1" x14ac:dyDescent="0.25"/>
    <row r="971" s="42" customFormat="1" ht="15" customHeight="1" x14ac:dyDescent="0.25"/>
    <row r="972" s="42" customFormat="1" ht="15" customHeight="1" x14ac:dyDescent="0.25"/>
    <row r="973" s="42" customFormat="1" ht="15" customHeight="1" x14ac:dyDescent="0.25"/>
    <row r="974" s="42" customFormat="1" ht="15" customHeight="1" x14ac:dyDescent="0.25"/>
    <row r="975" s="42" customFormat="1" ht="15" customHeight="1" x14ac:dyDescent="0.25"/>
    <row r="976" s="42" customFormat="1" ht="15" customHeight="1" x14ac:dyDescent="0.25"/>
    <row r="977" s="42" customFormat="1" ht="15" customHeight="1" x14ac:dyDescent="0.25"/>
    <row r="978" s="42" customFormat="1" ht="15" customHeight="1" x14ac:dyDescent="0.25"/>
    <row r="979" s="42" customFormat="1" ht="15" customHeight="1" x14ac:dyDescent="0.25"/>
    <row r="980" s="42" customFormat="1" ht="15" customHeight="1" x14ac:dyDescent="0.25"/>
    <row r="981" s="42" customFormat="1" ht="15" customHeight="1" x14ac:dyDescent="0.25"/>
    <row r="982" s="42" customFormat="1" ht="15" customHeight="1" x14ac:dyDescent="0.25"/>
    <row r="983" s="42" customFormat="1" ht="15" customHeight="1" x14ac:dyDescent="0.25"/>
    <row r="984" s="42" customFormat="1" ht="15" customHeight="1" x14ac:dyDescent="0.25"/>
    <row r="985" s="42" customFormat="1" ht="15" customHeight="1" x14ac:dyDescent="0.25"/>
    <row r="986" s="42" customFormat="1" ht="15" customHeight="1" x14ac:dyDescent="0.25"/>
    <row r="987" s="42" customFormat="1" ht="15" customHeight="1" x14ac:dyDescent="0.25"/>
    <row r="988" s="42" customFormat="1" ht="15" customHeight="1" x14ac:dyDescent="0.25"/>
    <row r="989" s="42" customFormat="1" ht="15" customHeight="1" x14ac:dyDescent="0.25"/>
    <row r="990" s="42" customFormat="1" ht="15" customHeight="1" x14ac:dyDescent="0.25"/>
    <row r="991" s="42" customFormat="1" ht="15" customHeight="1" x14ac:dyDescent="0.25"/>
    <row r="992" s="42" customFormat="1" ht="15" customHeight="1" x14ac:dyDescent="0.25"/>
    <row r="993" s="42" customFormat="1" ht="15" customHeight="1" x14ac:dyDescent="0.25"/>
    <row r="994" s="42" customFormat="1" ht="15" customHeight="1" x14ac:dyDescent="0.25"/>
    <row r="995" s="42" customFormat="1" ht="15" customHeight="1" x14ac:dyDescent="0.25"/>
    <row r="996" s="42" customFormat="1" ht="15" customHeight="1" x14ac:dyDescent="0.25"/>
    <row r="997" s="42" customFormat="1" ht="15" customHeight="1" x14ac:dyDescent="0.25"/>
    <row r="998" s="42" customFormat="1" ht="15" customHeight="1" x14ac:dyDescent="0.25"/>
    <row r="999" s="42" customFormat="1" ht="15" customHeight="1" x14ac:dyDescent="0.25"/>
    <row r="1000" s="42" customFormat="1" ht="15" customHeight="1" x14ac:dyDescent="0.25"/>
    <row r="1001" s="42" customFormat="1" ht="15" customHeight="1" x14ac:dyDescent="0.25"/>
    <row r="1002" s="42" customFormat="1" ht="15" customHeight="1" x14ac:dyDescent="0.25"/>
    <row r="1003" s="42" customFormat="1" ht="15" customHeight="1" x14ac:dyDescent="0.25"/>
    <row r="1004" s="42" customFormat="1" ht="15" customHeight="1" x14ac:dyDescent="0.25"/>
    <row r="1005" s="42" customFormat="1" ht="15" customHeight="1" x14ac:dyDescent="0.25"/>
    <row r="1006" s="42" customFormat="1" ht="15" customHeight="1" x14ac:dyDescent="0.25"/>
    <row r="1007" s="42" customFormat="1" ht="15" customHeight="1" x14ac:dyDescent="0.25"/>
    <row r="1008" s="42" customFormat="1" ht="15" customHeight="1" x14ac:dyDescent="0.25"/>
    <row r="1009" s="42" customFormat="1" ht="15" customHeight="1" x14ac:dyDescent="0.25"/>
    <row r="1010" s="42" customFormat="1" ht="15" customHeight="1" x14ac:dyDescent="0.25"/>
    <row r="1011" s="42" customFormat="1" ht="15" customHeight="1" x14ac:dyDescent="0.25"/>
    <row r="1012" s="42" customFormat="1" ht="15" customHeight="1" x14ac:dyDescent="0.25"/>
    <row r="1013" s="42" customFormat="1" ht="15" customHeight="1" x14ac:dyDescent="0.25"/>
    <row r="1014" s="42" customFormat="1" ht="15" customHeight="1" x14ac:dyDescent="0.25"/>
    <row r="1015" s="42" customFormat="1" ht="15" customHeight="1" x14ac:dyDescent="0.25"/>
    <row r="1016" s="42" customFormat="1" ht="15" customHeight="1" x14ac:dyDescent="0.25"/>
    <row r="1017" s="42" customFormat="1" ht="15" customHeight="1" x14ac:dyDescent="0.25"/>
    <row r="1018" s="42" customFormat="1" ht="15" customHeight="1" x14ac:dyDescent="0.25"/>
    <row r="1019" s="42" customFormat="1" ht="15" customHeight="1" x14ac:dyDescent="0.25"/>
    <row r="1020" s="42" customFormat="1" ht="15" customHeight="1" x14ac:dyDescent="0.25"/>
    <row r="1021" s="42" customFormat="1" ht="15" customHeight="1" x14ac:dyDescent="0.25"/>
    <row r="1022" s="42" customFormat="1" ht="15" customHeight="1" x14ac:dyDescent="0.25"/>
    <row r="1023" s="42" customFormat="1" ht="15" customHeight="1" x14ac:dyDescent="0.25"/>
    <row r="1024" s="42" customFormat="1" ht="15" customHeight="1" x14ac:dyDescent="0.25"/>
    <row r="1025" s="42" customFormat="1" ht="15" customHeight="1" x14ac:dyDescent="0.25"/>
    <row r="1026" s="42" customFormat="1" ht="15" customHeight="1" x14ac:dyDescent="0.25"/>
    <row r="1027" s="42" customFormat="1" ht="15" customHeight="1" x14ac:dyDescent="0.25"/>
    <row r="1028" s="42" customFormat="1" ht="15" customHeight="1" x14ac:dyDescent="0.25"/>
    <row r="1029" s="42" customFormat="1" ht="15" customHeight="1" x14ac:dyDescent="0.25"/>
    <row r="1030" s="42" customFormat="1" ht="15" customHeight="1" x14ac:dyDescent="0.25"/>
    <row r="1031" s="42" customFormat="1" ht="15" customHeight="1" x14ac:dyDescent="0.25"/>
    <row r="1032" s="42" customFormat="1" ht="15" customHeight="1" x14ac:dyDescent="0.25"/>
    <row r="1033" s="42" customFormat="1" ht="15" customHeight="1" x14ac:dyDescent="0.25"/>
    <row r="1034" s="42" customFormat="1" ht="15" customHeight="1" x14ac:dyDescent="0.25"/>
    <row r="1035" s="42" customFormat="1" ht="15" customHeight="1" x14ac:dyDescent="0.25"/>
    <row r="1036" s="42" customFormat="1" ht="15" customHeight="1" x14ac:dyDescent="0.25"/>
    <row r="1037" s="42" customFormat="1" ht="15" customHeight="1" x14ac:dyDescent="0.25"/>
    <row r="1038" s="42" customFormat="1" ht="15" customHeight="1" x14ac:dyDescent="0.25"/>
    <row r="1039" s="42" customFormat="1" ht="15" customHeight="1" x14ac:dyDescent="0.25"/>
    <row r="1040" s="42" customFormat="1" ht="15" customHeight="1" x14ac:dyDescent="0.25"/>
    <row r="1041" s="42" customFormat="1" ht="15" customHeight="1" x14ac:dyDescent="0.25"/>
    <row r="1042" s="42" customFormat="1" ht="15" customHeight="1" x14ac:dyDescent="0.25"/>
    <row r="1043" s="42" customFormat="1" ht="15" customHeight="1" x14ac:dyDescent="0.25"/>
    <row r="1044" s="42" customFormat="1" ht="15" customHeight="1" x14ac:dyDescent="0.25"/>
    <row r="1045" s="42" customFormat="1" ht="15" customHeight="1" x14ac:dyDescent="0.25"/>
    <row r="1046" s="42" customFormat="1" ht="15" customHeight="1" x14ac:dyDescent="0.25"/>
    <row r="1047" s="42" customFormat="1" ht="15" customHeight="1" x14ac:dyDescent="0.25"/>
    <row r="1048" s="42" customFormat="1" ht="15" customHeight="1" x14ac:dyDescent="0.25"/>
    <row r="1049" s="42" customFormat="1" ht="15" customHeight="1" x14ac:dyDescent="0.25"/>
    <row r="1050" s="42" customFormat="1" ht="15" customHeight="1" x14ac:dyDescent="0.25"/>
    <row r="1051" s="42" customFormat="1" ht="15" customHeight="1" x14ac:dyDescent="0.25"/>
    <row r="1052" s="42" customFormat="1" ht="15" customHeight="1" x14ac:dyDescent="0.25"/>
    <row r="1053" s="42" customFormat="1" ht="15" customHeight="1" x14ac:dyDescent="0.25"/>
    <row r="1054" s="42" customFormat="1" ht="15" customHeight="1" x14ac:dyDescent="0.25"/>
    <row r="1055" s="42" customFormat="1" ht="15" customHeight="1" x14ac:dyDescent="0.25"/>
    <row r="1056" s="42" customFormat="1" ht="15" customHeight="1" x14ac:dyDescent="0.25"/>
    <row r="1057" s="42" customFormat="1" ht="15" customHeight="1" x14ac:dyDescent="0.25"/>
    <row r="1058" s="42" customFormat="1" ht="15" customHeight="1" x14ac:dyDescent="0.25"/>
    <row r="1059" s="42" customFormat="1" ht="15" customHeight="1" x14ac:dyDescent="0.25"/>
    <row r="1060" s="42" customFormat="1" ht="15" customHeight="1" x14ac:dyDescent="0.25"/>
    <row r="1061" s="42" customFormat="1" ht="15" customHeight="1" x14ac:dyDescent="0.25"/>
    <row r="1062" s="42" customFormat="1" ht="15" customHeight="1" x14ac:dyDescent="0.25"/>
    <row r="1063" s="42" customFormat="1" ht="15" customHeight="1" x14ac:dyDescent="0.25"/>
    <row r="1064" s="42" customFormat="1" ht="15" customHeight="1" x14ac:dyDescent="0.25"/>
    <row r="1065" s="42" customFormat="1" ht="15" customHeight="1" x14ac:dyDescent="0.25"/>
    <row r="1066" s="42" customFormat="1" ht="15" customHeight="1" x14ac:dyDescent="0.25"/>
    <row r="1067" s="42" customFormat="1" ht="15" customHeight="1" x14ac:dyDescent="0.25"/>
    <row r="1068" s="42" customFormat="1" ht="15" customHeight="1" x14ac:dyDescent="0.25"/>
    <row r="1069" s="42" customFormat="1" ht="15" customHeight="1" x14ac:dyDescent="0.25"/>
    <row r="1070" s="42" customFormat="1" ht="15" customHeight="1" x14ac:dyDescent="0.25"/>
    <row r="1071" s="42" customFormat="1" ht="15" customHeight="1" x14ac:dyDescent="0.25"/>
    <row r="1072" s="42" customFormat="1" ht="15" customHeight="1" x14ac:dyDescent="0.25"/>
    <row r="1073" s="42" customFormat="1" ht="15" customHeight="1" x14ac:dyDescent="0.25"/>
    <row r="1074" s="42" customFormat="1" ht="15" customHeight="1" x14ac:dyDescent="0.25"/>
    <row r="1075" s="42" customFormat="1" ht="15" customHeight="1" x14ac:dyDescent="0.25"/>
    <row r="1076" s="42" customFormat="1" ht="15" customHeight="1" x14ac:dyDescent="0.25"/>
    <row r="1077" s="42" customFormat="1" ht="15" customHeight="1" x14ac:dyDescent="0.25"/>
    <row r="1078" s="42" customFormat="1" ht="15" customHeight="1" x14ac:dyDescent="0.25"/>
    <row r="1079" s="42" customFormat="1" ht="15" customHeight="1" x14ac:dyDescent="0.25"/>
    <row r="1080" s="42" customFormat="1" ht="15" customHeight="1" x14ac:dyDescent="0.25"/>
    <row r="1081" s="42" customFormat="1" ht="15" customHeight="1" x14ac:dyDescent="0.25"/>
    <row r="1082" s="42" customFormat="1" ht="15" customHeight="1" x14ac:dyDescent="0.25"/>
    <row r="1083" s="42" customFormat="1" ht="15" customHeight="1" x14ac:dyDescent="0.25"/>
    <row r="1084" s="42" customFormat="1" ht="15" customHeight="1" x14ac:dyDescent="0.25"/>
    <row r="1085" s="42" customFormat="1" ht="15" customHeight="1" x14ac:dyDescent="0.25"/>
    <row r="1086" s="42" customFormat="1" ht="15" customHeight="1" x14ac:dyDescent="0.25"/>
    <row r="1087" s="42" customFormat="1" ht="15" customHeight="1" x14ac:dyDescent="0.25"/>
    <row r="1088" s="42" customFormat="1" ht="15" customHeight="1" x14ac:dyDescent="0.25"/>
    <row r="1089" s="42" customFormat="1" ht="15" customHeight="1" x14ac:dyDescent="0.25"/>
    <row r="1090" s="42" customFormat="1" ht="15" customHeight="1" x14ac:dyDescent="0.25"/>
    <row r="1091" s="42" customFormat="1" ht="15" customHeight="1" x14ac:dyDescent="0.25"/>
    <row r="1092" s="42" customFormat="1" ht="15" customHeight="1" x14ac:dyDescent="0.25"/>
    <row r="1093" s="42" customFormat="1" ht="15" customHeight="1" x14ac:dyDescent="0.25"/>
    <row r="1094" s="42" customFormat="1" ht="15" customHeight="1" x14ac:dyDescent="0.25"/>
    <row r="1095" s="42" customFormat="1" ht="15" customHeight="1" x14ac:dyDescent="0.25"/>
    <row r="1096" s="42" customFormat="1" ht="15" customHeight="1" x14ac:dyDescent="0.25"/>
    <row r="1097" s="42" customFormat="1" ht="15" customHeight="1" x14ac:dyDescent="0.25"/>
    <row r="1098" s="42" customFormat="1" ht="15" customHeight="1" x14ac:dyDescent="0.25"/>
    <row r="1099" s="42" customFormat="1" ht="15" customHeight="1" x14ac:dyDescent="0.25"/>
    <row r="1100" s="42" customFormat="1" ht="15" customHeight="1" x14ac:dyDescent="0.25"/>
    <row r="1101" s="42" customFormat="1" ht="15" customHeight="1" x14ac:dyDescent="0.25"/>
    <row r="1102" s="42" customFormat="1" ht="15" customHeight="1" x14ac:dyDescent="0.25"/>
    <row r="1103" s="42" customFormat="1" ht="15" customHeight="1" x14ac:dyDescent="0.25"/>
    <row r="1104" s="42" customFormat="1" ht="15" customHeight="1" x14ac:dyDescent="0.25"/>
    <row r="1105" s="42" customFormat="1" ht="15" customHeight="1" x14ac:dyDescent="0.25"/>
    <row r="1106" s="42" customFormat="1" ht="15" customHeight="1" x14ac:dyDescent="0.25"/>
    <row r="1107" s="42" customFormat="1" ht="15" customHeight="1" x14ac:dyDescent="0.25"/>
    <row r="1108" s="42" customFormat="1" ht="15" customHeight="1" x14ac:dyDescent="0.25"/>
    <row r="1109" s="42" customFormat="1" ht="15" customHeight="1" x14ac:dyDescent="0.25"/>
    <row r="1110" s="42" customFormat="1" ht="15" customHeight="1" x14ac:dyDescent="0.25"/>
    <row r="1111" s="42" customFormat="1" ht="15" customHeight="1" x14ac:dyDescent="0.25"/>
    <row r="1112" s="42" customFormat="1" ht="15" customHeight="1" x14ac:dyDescent="0.25"/>
    <row r="1113" s="42" customFormat="1" ht="15" customHeight="1" x14ac:dyDescent="0.25"/>
    <row r="1114" s="42" customFormat="1" ht="15" customHeight="1" x14ac:dyDescent="0.25"/>
    <row r="1115" s="42" customFormat="1" ht="15" customHeight="1" x14ac:dyDescent="0.25"/>
    <row r="1116" s="42" customFormat="1" ht="15" customHeight="1" x14ac:dyDescent="0.25"/>
    <row r="1117" s="42" customFormat="1" ht="15" customHeight="1" x14ac:dyDescent="0.25"/>
    <row r="1118" s="42" customFormat="1" ht="15" customHeight="1" x14ac:dyDescent="0.25"/>
    <row r="1119" s="42" customFormat="1" ht="15" customHeight="1" x14ac:dyDescent="0.25"/>
    <row r="1120" s="42" customFormat="1" ht="15" customHeight="1" x14ac:dyDescent="0.25"/>
    <row r="1121" s="42" customFormat="1" ht="15" customHeight="1" x14ac:dyDescent="0.25"/>
    <row r="1122" s="42" customFormat="1" ht="15" customHeight="1" x14ac:dyDescent="0.25"/>
    <row r="1123" s="42" customFormat="1" ht="15" customHeight="1" x14ac:dyDescent="0.25"/>
    <row r="1124" s="42" customFormat="1" ht="15" customHeight="1" x14ac:dyDescent="0.25"/>
    <row r="1125" s="42" customFormat="1" ht="15" customHeight="1" x14ac:dyDescent="0.25"/>
    <row r="1126" s="42" customFormat="1" ht="15" customHeight="1" x14ac:dyDescent="0.25"/>
    <row r="1127" s="42" customFormat="1" ht="15" customHeight="1" x14ac:dyDescent="0.25"/>
    <row r="1128" s="42" customFormat="1" ht="15" customHeight="1" x14ac:dyDescent="0.25"/>
    <row r="1129" s="42" customFormat="1" ht="15" customHeight="1" x14ac:dyDescent="0.25"/>
    <row r="1130" s="42" customFormat="1" ht="15" customHeight="1" x14ac:dyDescent="0.25"/>
    <row r="1131" s="42" customFormat="1" ht="15" customHeight="1" x14ac:dyDescent="0.25"/>
    <row r="1132" s="42" customFormat="1" ht="15" customHeight="1" x14ac:dyDescent="0.25"/>
    <row r="1133" s="42" customFormat="1" ht="15" customHeight="1" x14ac:dyDescent="0.25"/>
    <row r="1134" s="42" customFormat="1" ht="15" customHeight="1" x14ac:dyDescent="0.25"/>
    <row r="1135" s="42" customFormat="1" ht="15" customHeight="1" x14ac:dyDescent="0.25"/>
    <row r="1136" s="42" customFormat="1" ht="15" customHeight="1" x14ac:dyDescent="0.25"/>
    <row r="1137" s="42" customFormat="1" ht="15" customHeight="1" x14ac:dyDescent="0.25"/>
    <row r="1138" s="42" customFormat="1" ht="15" customHeight="1" x14ac:dyDescent="0.25"/>
    <row r="1139" s="42" customFormat="1" ht="15" customHeight="1" x14ac:dyDescent="0.25"/>
    <row r="1140" s="42" customFormat="1" ht="15" customHeight="1" x14ac:dyDescent="0.25"/>
    <row r="1141" s="42" customFormat="1" ht="15" customHeight="1" x14ac:dyDescent="0.25"/>
    <row r="1142" s="42" customFormat="1" ht="15" customHeight="1" x14ac:dyDescent="0.25"/>
    <row r="1143" s="42" customFormat="1" ht="15" customHeight="1" x14ac:dyDescent="0.25"/>
    <row r="1144" s="42" customFormat="1" ht="15" customHeight="1" x14ac:dyDescent="0.25"/>
    <row r="1145" s="42" customFormat="1" ht="15" customHeight="1" x14ac:dyDescent="0.25"/>
    <row r="1146" s="42" customFormat="1" ht="15" customHeight="1" x14ac:dyDescent="0.25"/>
    <row r="1147" s="42" customFormat="1" ht="15" customHeight="1" x14ac:dyDescent="0.25"/>
    <row r="1148" s="42" customFormat="1" ht="15" customHeight="1" x14ac:dyDescent="0.25"/>
    <row r="1149" s="42" customFormat="1" ht="15" customHeight="1" x14ac:dyDescent="0.25"/>
    <row r="1150" s="42" customFormat="1" ht="15" customHeight="1" x14ac:dyDescent="0.25"/>
    <row r="1151" s="42" customFormat="1" ht="15" customHeight="1" x14ac:dyDescent="0.25"/>
    <row r="1152" s="42" customFormat="1" ht="15" customHeight="1" x14ac:dyDescent="0.25"/>
    <row r="1153" s="42" customFormat="1" ht="15" customHeight="1" x14ac:dyDescent="0.25"/>
    <row r="1154" s="42" customFormat="1" ht="15" customHeight="1" x14ac:dyDescent="0.25"/>
    <row r="1155" s="42" customFormat="1" ht="15" customHeight="1" x14ac:dyDescent="0.25"/>
    <row r="1156" s="42" customFormat="1" ht="15" customHeight="1" x14ac:dyDescent="0.25"/>
    <row r="1157" s="42" customFormat="1" ht="15" customHeight="1" x14ac:dyDescent="0.25"/>
    <row r="1158" s="42" customFormat="1" ht="15" customHeight="1" x14ac:dyDescent="0.25"/>
    <row r="1159" s="42" customFormat="1" ht="15" customHeight="1" x14ac:dyDescent="0.25"/>
    <row r="1160" s="42" customFormat="1" ht="15" customHeight="1" x14ac:dyDescent="0.25"/>
    <row r="1161" s="42" customFormat="1" ht="15" customHeight="1" x14ac:dyDescent="0.25"/>
    <row r="1162" s="42" customFormat="1" ht="15" customHeight="1" x14ac:dyDescent="0.25"/>
    <row r="1163" s="42" customFormat="1" ht="15" customHeight="1" x14ac:dyDescent="0.25"/>
    <row r="1164" s="42" customFormat="1" ht="15" customHeight="1" x14ac:dyDescent="0.25"/>
    <row r="1165" s="42" customFormat="1" ht="15" customHeight="1" x14ac:dyDescent="0.25"/>
    <row r="1166" s="42" customFormat="1" ht="15" customHeight="1" x14ac:dyDescent="0.25"/>
    <row r="1167" s="42" customFormat="1" ht="15" customHeight="1" x14ac:dyDescent="0.25"/>
    <row r="1168" s="42" customFormat="1" ht="15" customHeight="1" x14ac:dyDescent="0.25"/>
    <row r="1169" s="42" customFormat="1" ht="15" customHeight="1" x14ac:dyDescent="0.25"/>
    <row r="1170" s="42" customFormat="1" ht="15" customHeight="1" x14ac:dyDescent="0.25"/>
    <row r="1171" s="42" customFormat="1" ht="15" customHeight="1" x14ac:dyDescent="0.25"/>
    <row r="1172" s="42" customFormat="1" ht="15" customHeight="1" x14ac:dyDescent="0.25"/>
    <row r="1173" s="42" customFormat="1" ht="15" customHeight="1" x14ac:dyDescent="0.25"/>
    <row r="1174" s="42" customFormat="1" ht="15" customHeight="1" x14ac:dyDescent="0.25"/>
    <row r="1175" s="42" customFormat="1" ht="15" customHeight="1" x14ac:dyDescent="0.25"/>
    <row r="1176" s="42" customFormat="1" ht="15" customHeight="1" x14ac:dyDescent="0.25"/>
    <row r="1177" s="42" customFormat="1" ht="15" customHeight="1" x14ac:dyDescent="0.25"/>
    <row r="1178" s="42" customFormat="1" ht="15" customHeight="1" x14ac:dyDescent="0.25"/>
    <row r="1179" s="42" customFormat="1" ht="15" customHeight="1" x14ac:dyDescent="0.25"/>
    <row r="1180" s="42" customFormat="1" ht="15" customHeight="1" x14ac:dyDescent="0.25"/>
    <row r="1181" s="42" customFormat="1" ht="15" customHeight="1" x14ac:dyDescent="0.25"/>
    <row r="1182" s="42" customFormat="1" ht="15" customHeight="1" x14ac:dyDescent="0.25"/>
    <row r="1183" s="42" customFormat="1" ht="15" customHeight="1" x14ac:dyDescent="0.25"/>
    <row r="1184" s="42" customFormat="1" ht="15" customHeight="1" x14ac:dyDescent="0.25"/>
    <row r="1185" s="42" customFormat="1" ht="15" customHeight="1" x14ac:dyDescent="0.25"/>
    <row r="1186" s="42" customFormat="1" ht="15" customHeight="1" x14ac:dyDescent="0.25"/>
    <row r="1187" s="42" customFormat="1" ht="15" customHeight="1" x14ac:dyDescent="0.25"/>
    <row r="1188" s="42" customFormat="1" ht="15" customHeight="1" x14ac:dyDescent="0.25"/>
    <row r="1189" s="42" customFormat="1" ht="15" customHeight="1" x14ac:dyDescent="0.25"/>
    <row r="1190" s="42" customFormat="1" ht="15" customHeight="1" x14ac:dyDescent="0.25"/>
    <row r="1191" s="42" customFormat="1" ht="15" customHeight="1" x14ac:dyDescent="0.25"/>
    <row r="1192" s="42" customFormat="1" ht="15" customHeight="1" x14ac:dyDescent="0.25"/>
    <row r="1193" s="42" customFormat="1" ht="15" customHeight="1" x14ac:dyDescent="0.25"/>
    <row r="1194" s="42" customFormat="1" ht="15" customHeight="1" x14ac:dyDescent="0.25"/>
    <row r="1195" s="42" customFormat="1" ht="15" customHeight="1" x14ac:dyDescent="0.25"/>
    <row r="1196" s="42" customFormat="1" ht="15" customHeight="1" x14ac:dyDescent="0.25"/>
    <row r="1197" s="42" customFormat="1" ht="15" customHeight="1" x14ac:dyDescent="0.25"/>
    <row r="1198" s="42" customFormat="1" ht="15" customHeight="1" x14ac:dyDescent="0.25"/>
    <row r="1199" s="42" customFormat="1" ht="15" customHeight="1" x14ac:dyDescent="0.25"/>
    <row r="1200" s="42" customFormat="1" ht="15" customHeight="1" x14ac:dyDescent="0.25"/>
    <row r="1201" s="42" customFormat="1" ht="15" customHeight="1" x14ac:dyDescent="0.25"/>
    <row r="1202" s="42" customFormat="1" ht="15" customHeight="1" x14ac:dyDescent="0.25"/>
    <row r="1203" s="42" customFormat="1" ht="15" customHeight="1" x14ac:dyDescent="0.25"/>
    <row r="1204" s="42" customFormat="1" ht="15" customHeight="1" x14ac:dyDescent="0.25"/>
    <row r="1205" s="42" customFormat="1" ht="15" customHeight="1" x14ac:dyDescent="0.25"/>
    <row r="1206" s="42" customFormat="1" ht="15" customHeight="1" x14ac:dyDescent="0.25"/>
    <row r="1207" s="42" customFormat="1" ht="15" customHeight="1" x14ac:dyDescent="0.25"/>
    <row r="1208" s="42" customFormat="1" ht="15" customHeight="1" x14ac:dyDescent="0.25"/>
    <row r="1209" s="42" customFormat="1" ht="15" customHeight="1" x14ac:dyDescent="0.25"/>
    <row r="1210" s="42" customFormat="1" ht="15" customHeight="1" x14ac:dyDescent="0.25"/>
    <row r="1211" s="42" customFormat="1" ht="15" customHeight="1" x14ac:dyDescent="0.25"/>
    <row r="1212" s="42" customFormat="1" ht="15" customHeight="1" x14ac:dyDescent="0.25"/>
    <row r="1213" s="42" customFormat="1" ht="15" customHeight="1" x14ac:dyDescent="0.25"/>
    <row r="1214" s="42" customFormat="1" ht="15" customHeight="1" x14ac:dyDescent="0.25"/>
    <row r="1215" s="42" customFormat="1" ht="15" customHeight="1" x14ac:dyDescent="0.25"/>
    <row r="1216" s="42" customFormat="1" ht="15" customHeight="1" x14ac:dyDescent="0.25"/>
    <row r="1217" s="42" customFormat="1" ht="15" customHeight="1" x14ac:dyDescent="0.25"/>
    <row r="1218" s="42" customFormat="1" ht="15" customHeight="1" x14ac:dyDescent="0.25"/>
    <row r="1219" s="42" customFormat="1" ht="15" customHeight="1" x14ac:dyDescent="0.25"/>
    <row r="1220" s="42" customFormat="1" ht="15" customHeight="1" x14ac:dyDescent="0.25"/>
    <row r="1221" s="42" customFormat="1" ht="15" customHeight="1" x14ac:dyDescent="0.25"/>
    <row r="1222" s="42" customFormat="1" ht="15" customHeight="1" x14ac:dyDescent="0.25"/>
    <row r="1223" s="42" customFormat="1" ht="15" customHeight="1" x14ac:dyDescent="0.25"/>
    <row r="1224" s="42" customFormat="1" ht="15" customHeight="1" x14ac:dyDescent="0.25"/>
    <row r="1225" s="42" customFormat="1" ht="15" customHeight="1" x14ac:dyDescent="0.25"/>
    <row r="1226" s="42" customFormat="1" ht="15" customHeight="1" x14ac:dyDescent="0.25"/>
    <row r="1227" s="42" customFormat="1" ht="15" customHeight="1" x14ac:dyDescent="0.25"/>
    <row r="1228" s="42" customFormat="1" ht="15" customHeight="1" x14ac:dyDescent="0.25"/>
    <row r="1229" s="42" customFormat="1" ht="15" customHeight="1" x14ac:dyDescent="0.25"/>
    <row r="1230" s="42" customFormat="1" ht="15" customHeight="1" x14ac:dyDescent="0.25"/>
    <row r="1231" s="42" customFormat="1" ht="15" customHeight="1" x14ac:dyDescent="0.25"/>
    <row r="1232" s="42" customFormat="1" ht="15" customHeight="1" x14ac:dyDescent="0.25"/>
    <row r="1233" s="42" customFormat="1" ht="15" customHeight="1" x14ac:dyDescent="0.25"/>
    <row r="1234" s="42" customFormat="1" ht="15" customHeight="1" x14ac:dyDescent="0.25"/>
    <row r="1235" s="42" customFormat="1" ht="15" customHeight="1" x14ac:dyDescent="0.25"/>
    <row r="1236" s="42" customFormat="1" ht="15" customHeight="1" x14ac:dyDescent="0.25"/>
    <row r="1237" s="42" customFormat="1" ht="15" customHeight="1" x14ac:dyDescent="0.25"/>
    <row r="1238" s="42" customFormat="1" ht="15" customHeight="1" x14ac:dyDescent="0.25"/>
    <row r="1239" s="42" customFormat="1" ht="15" customHeight="1" x14ac:dyDescent="0.25"/>
    <row r="1240" s="42" customFormat="1" ht="15" customHeight="1" x14ac:dyDescent="0.25"/>
    <row r="1241" s="42" customFormat="1" ht="15" customHeight="1" x14ac:dyDescent="0.25"/>
    <row r="1242" s="42" customFormat="1" ht="15" customHeight="1" x14ac:dyDescent="0.25"/>
    <row r="1243" s="42" customFormat="1" ht="15" customHeight="1" x14ac:dyDescent="0.25"/>
    <row r="1244" s="42" customFormat="1" ht="15" customHeight="1" x14ac:dyDescent="0.25"/>
    <row r="1245" s="42" customFormat="1" ht="15" customHeight="1" x14ac:dyDescent="0.25"/>
    <row r="1246" s="42" customFormat="1" ht="15" customHeight="1" x14ac:dyDescent="0.25"/>
    <row r="1247" s="42" customFormat="1" ht="15" customHeight="1" x14ac:dyDescent="0.25"/>
    <row r="1248" s="42" customFormat="1" ht="15" customHeight="1" x14ac:dyDescent="0.25"/>
    <row r="1249" s="42" customFormat="1" ht="15" customHeight="1" x14ac:dyDescent="0.25"/>
    <row r="1250" s="42" customFormat="1" ht="15" customHeight="1" x14ac:dyDescent="0.25"/>
    <row r="1251" s="42" customFormat="1" ht="15" customHeight="1" x14ac:dyDescent="0.25"/>
    <row r="1252" s="42" customFormat="1" ht="15" customHeight="1" x14ac:dyDescent="0.25"/>
    <row r="1253" s="42" customFormat="1" ht="15" customHeight="1" x14ac:dyDescent="0.25"/>
    <row r="1254" s="42" customFormat="1" ht="15" customHeight="1" x14ac:dyDescent="0.25"/>
    <row r="1255" s="42" customFormat="1" ht="15" customHeight="1" x14ac:dyDescent="0.25"/>
    <row r="1256" s="42" customFormat="1" ht="15" customHeight="1" x14ac:dyDescent="0.25"/>
    <row r="1257" s="42" customFormat="1" ht="15" customHeight="1" x14ac:dyDescent="0.25"/>
    <row r="1258" s="42" customFormat="1" ht="15" customHeight="1" x14ac:dyDescent="0.25"/>
    <row r="1259" s="42" customFormat="1" ht="15" customHeight="1" x14ac:dyDescent="0.25"/>
    <row r="1260" s="42" customFormat="1" ht="15" customHeight="1" x14ac:dyDescent="0.25"/>
    <row r="1261" s="42" customFormat="1" ht="15" customHeight="1" x14ac:dyDescent="0.25"/>
    <row r="1262" s="42" customFormat="1" ht="15" customHeight="1" x14ac:dyDescent="0.25"/>
    <row r="1263" s="42" customFormat="1" ht="15" customHeight="1" x14ac:dyDescent="0.25"/>
    <row r="1264" s="42" customFormat="1" ht="15" customHeight="1" x14ac:dyDescent="0.25"/>
    <row r="1265" s="42" customFormat="1" ht="15" customHeight="1" x14ac:dyDescent="0.25"/>
    <row r="1266" s="42" customFormat="1" ht="15" customHeight="1" x14ac:dyDescent="0.25"/>
    <row r="1267" s="42" customFormat="1" ht="15" customHeight="1" x14ac:dyDescent="0.25"/>
    <row r="1268" s="42" customFormat="1" ht="15" customHeight="1" x14ac:dyDescent="0.25"/>
    <row r="1269" s="42" customFormat="1" ht="15" customHeight="1" x14ac:dyDescent="0.25"/>
    <row r="1270" s="42" customFormat="1" ht="15" customHeight="1" x14ac:dyDescent="0.25"/>
    <row r="1271" s="42" customFormat="1" ht="15" customHeight="1" x14ac:dyDescent="0.25"/>
    <row r="1272" s="42" customFormat="1" ht="15" customHeight="1" x14ac:dyDescent="0.25"/>
    <row r="1273" s="42" customFormat="1" ht="15" customHeight="1" x14ac:dyDescent="0.25"/>
    <row r="1274" s="42" customFormat="1" ht="15" customHeight="1" x14ac:dyDescent="0.25"/>
    <row r="1275" s="42" customFormat="1" ht="15" customHeight="1" x14ac:dyDescent="0.25"/>
    <row r="1276" s="42" customFormat="1" ht="15" customHeight="1" x14ac:dyDescent="0.25"/>
    <row r="1277" s="42" customFormat="1" ht="15" customHeight="1" x14ac:dyDescent="0.25"/>
    <row r="1278" s="42" customFormat="1" ht="15" customHeight="1" x14ac:dyDescent="0.25"/>
    <row r="1279" s="42" customFormat="1" ht="15" customHeight="1" x14ac:dyDescent="0.25"/>
    <row r="1280" s="42" customFormat="1" ht="15" customHeight="1" x14ac:dyDescent="0.25"/>
    <row r="1281" s="42" customFormat="1" ht="15" customHeight="1" x14ac:dyDescent="0.25"/>
    <row r="1282" s="42" customFormat="1" ht="15" customHeight="1" x14ac:dyDescent="0.25"/>
    <row r="1283" s="42" customFormat="1" ht="15" customHeight="1" x14ac:dyDescent="0.25"/>
    <row r="1284" s="42" customFormat="1" ht="15" customHeight="1" x14ac:dyDescent="0.25"/>
    <row r="1285" s="42" customFormat="1" ht="15" customHeight="1" x14ac:dyDescent="0.25"/>
    <row r="1286" s="42" customFormat="1" ht="15" customHeight="1" x14ac:dyDescent="0.25"/>
    <row r="1287" s="42" customFormat="1" ht="15" customHeight="1" x14ac:dyDescent="0.25"/>
    <row r="1288" s="42" customFormat="1" ht="15" customHeight="1" x14ac:dyDescent="0.25"/>
    <row r="1289" s="42" customFormat="1" ht="15" customHeight="1" x14ac:dyDescent="0.25"/>
    <row r="1290" s="42" customFormat="1" ht="15" customHeight="1" x14ac:dyDescent="0.25"/>
    <row r="1291" s="42" customFormat="1" ht="15" customHeight="1" x14ac:dyDescent="0.25"/>
    <row r="1292" s="42" customFormat="1" ht="15" customHeight="1" x14ac:dyDescent="0.25"/>
    <row r="1293" s="42" customFormat="1" ht="15" customHeight="1" x14ac:dyDescent="0.25"/>
    <row r="1294" s="42" customFormat="1" ht="15" customHeight="1" x14ac:dyDescent="0.25"/>
    <row r="1295" s="42" customFormat="1" ht="15" customHeight="1" x14ac:dyDescent="0.25"/>
    <row r="1296" s="42" customFormat="1" ht="15" customHeight="1" x14ac:dyDescent="0.25"/>
    <row r="1297" s="42" customFormat="1" ht="15" customHeight="1" x14ac:dyDescent="0.25"/>
    <row r="1298" s="42" customFormat="1" ht="15" customHeight="1" x14ac:dyDescent="0.25"/>
    <row r="1299" s="42" customFormat="1" ht="15" customHeight="1" x14ac:dyDescent="0.25"/>
    <row r="1300" s="42" customFormat="1" ht="15" customHeight="1" x14ac:dyDescent="0.25"/>
    <row r="1301" s="42" customFormat="1" ht="15" customHeight="1" x14ac:dyDescent="0.25"/>
    <row r="1302" s="42" customFormat="1" ht="15" customHeight="1" x14ac:dyDescent="0.25"/>
    <row r="1303" s="42" customFormat="1" ht="15" customHeight="1" x14ac:dyDescent="0.25"/>
    <row r="1304" s="42" customFormat="1" ht="15" customHeight="1" x14ac:dyDescent="0.25"/>
    <row r="1305" s="42" customFormat="1" ht="15" customHeight="1" x14ac:dyDescent="0.25"/>
    <row r="1306" s="42" customFormat="1" ht="15" customHeight="1" x14ac:dyDescent="0.25"/>
    <row r="1307" s="42" customFormat="1" ht="15" customHeight="1" x14ac:dyDescent="0.25"/>
    <row r="1308" s="42" customFormat="1" ht="15" customHeight="1" x14ac:dyDescent="0.25"/>
    <row r="1309" s="42" customFormat="1" ht="15" customHeight="1" x14ac:dyDescent="0.25"/>
    <row r="1310" s="42" customFormat="1" ht="15" customHeight="1" x14ac:dyDescent="0.25"/>
    <row r="1311" s="42" customFormat="1" ht="15" customHeight="1" x14ac:dyDescent="0.25"/>
    <row r="1312" s="42" customFormat="1" ht="15" customHeight="1" x14ac:dyDescent="0.25"/>
    <row r="1313" s="42" customFormat="1" ht="15" customHeight="1" x14ac:dyDescent="0.25"/>
    <row r="1314" s="42" customFormat="1" ht="15" customHeight="1" x14ac:dyDescent="0.25"/>
    <row r="1315" s="42" customFormat="1" ht="15" customHeight="1" x14ac:dyDescent="0.25"/>
    <row r="1316" s="42" customFormat="1" ht="15" customHeight="1" x14ac:dyDescent="0.25"/>
    <row r="1317" s="42" customFormat="1" ht="15" customHeight="1" x14ac:dyDescent="0.25"/>
    <row r="1318" s="42" customFormat="1" ht="15" customHeight="1" x14ac:dyDescent="0.25"/>
    <row r="1319" s="42" customFormat="1" ht="15" customHeight="1" x14ac:dyDescent="0.25"/>
    <row r="1320" s="42" customFormat="1" ht="15" customHeight="1" x14ac:dyDescent="0.25"/>
    <row r="1321" s="42" customFormat="1" ht="15" customHeight="1" x14ac:dyDescent="0.25"/>
    <row r="1322" s="42" customFormat="1" ht="15" customHeight="1" x14ac:dyDescent="0.25"/>
    <row r="1323" s="42" customFormat="1" ht="15" customHeight="1" x14ac:dyDescent="0.25"/>
    <row r="1324" s="42" customFormat="1" ht="15" customHeight="1" x14ac:dyDescent="0.25"/>
    <row r="1325" s="42" customFormat="1" ht="15" customHeight="1" x14ac:dyDescent="0.25"/>
    <row r="1326" s="42" customFormat="1" ht="15" customHeight="1" x14ac:dyDescent="0.25"/>
    <row r="1327" s="42" customFormat="1" ht="15" customHeight="1" x14ac:dyDescent="0.25"/>
    <row r="1328" s="42" customFormat="1" ht="15" customHeight="1" x14ac:dyDescent="0.25"/>
    <row r="1329" s="42" customFormat="1" ht="15" customHeight="1" x14ac:dyDescent="0.25"/>
    <row r="1330" s="42" customFormat="1" ht="15" customHeight="1" x14ac:dyDescent="0.25"/>
    <row r="1331" s="42" customFormat="1" ht="15" customHeight="1" x14ac:dyDescent="0.25"/>
    <row r="1332" s="42" customFormat="1" ht="15" customHeight="1" x14ac:dyDescent="0.25"/>
    <row r="1333" s="42" customFormat="1" ht="15" customHeight="1" x14ac:dyDescent="0.25"/>
    <row r="1334" s="42" customFormat="1" ht="15" customHeight="1" x14ac:dyDescent="0.25"/>
    <row r="1335" s="42" customFormat="1" ht="15" customHeight="1" x14ac:dyDescent="0.25"/>
    <row r="1336" s="42" customFormat="1" ht="15" customHeight="1" x14ac:dyDescent="0.25"/>
    <row r="1337" s="42" customFormat="1" ht="15" customHeight="1" x14ac:dyDescent="0.25"/>
    <row r="1338" s="42" customFormat="1" ht="15" customHeight="1" x14ac:dyDescent="0.25"/>
    <row r="1339" s="42" customFormat="1" ht="15" customHeight="1" x14ac:dyDescent="0.25"/>
    <row r="1340" s="42" customFormat="1" ht="15" customHeight="1" x14ac:dyDescent="0.25"/>
    <row r="1341" s="42" customFormat="1" ht="15" customHeight="1" x14ac:dyDescent="0.25"/>
    <row r="1342" s="42" customFormat="1" ht="15" customHeight="1" x14ac:dyDescent="0.25"/>
    <row r="1343" s="42" customFormat="1" ht="15" customHeight="1" x14ac:dyDescent="0.25"/>
    <row r="1344" s="42" customFormat="1" ht="15" customHeight="1" x14ac:dyDescent="0.25"/>
    <row r="1345" s="42" customFormat="1" ht="15" customHeight="1" x14ac:dyDescent="0.25"/>
    <row r="1346" s="42" customFormat="1" ht="15" customHeight="1" x14ac:dyDescent="0.25"/>
    <row r="1347" s="42" customFormat="1" ht="15" customHeight="1" x14ac:dyDescent="0.25"/>
    <row r="1348" s="42" customFormat="1" ht="15" customHeight="1" x14ac:dyDescent="0.25"/>
    <row r="1349" s="42" customFormat="1" ht="15" customHeight="1" x14ac:dyDescent="0.25"/>
    <row r="1350" s="42" customFormat="1" ht="15" customHeight="1" x14ac:dyDescent="0.25"/>
    <row r="1351" s="42" customFormat="1" ht="15" customHeight="1" x14ac:dyDescent="0.25"/>
    <row r="1352" s="42" customFormat="1" ht="15" customHeight="1" x14ac:dyDescent="0.25"/>
    <row r="1353" s="42" customFormat="1" ht="15" customHeight="1" x14ac:dyDescent="0.25"/>
    <row r="1354" s="42" customFormat="1" ht="15" customHeight="1" x14ac:dyDescent="0.25"/>
    <row r="1355" s="42" customFormat="1" ht="15" customHeight="1" x14ac:dyDescent="0.25"/>
    <row r="1356" s="42" customFormat="1" ht="15" customHeight="1" x14ac:dyDescent="0.25"/>
    <row r="1357" s="42" customFormat="1" ht="15" customHeight="1" x14ac:dyDescent="0.25"/>
    <row r="1358" s="42" customFormat="1" ht="15" customHeight="1" x14ac:dyDescent="0.25"/>
    <row r="1359" s="42" customFormat="1" ht="15" customHeight="1" x14ac:dyDescent="0.25"/>
    <row r="1360" s="42" customFormat="1" ht="15" customHeight="1" x14ac:dyDescent="0.25"/>
    <row r="1361" s="42" customFormat="1" ht="15" customHeight="1" x14ac:dyDescent="0.25"/>
    <row r="1362" s="42" customFormat="1" ht="15" customHeight="1" x14ac:dyDescent="0.25"/>
    <row r="1363" s="42" customFormat="1" ht="15" customHeight="1" x14ac:dyDescent="0.25"/>
    <row r="1364" s="42" customFormat="1" ht="15" customHeight="1" x14ac:dyDescent="0.25"/>
    <row r="1365" s="42" customFormat="1" ht="15" customHeight="1" x14ac:dyDescent="0.25"/>
    <row r="1366" s="42" customFormat="1" ht="15" customHeight="1" x14ac:dyDescent="0.25"/>
    <row r="1367" s="42" customFormat="1" ht="15" customHeight="1" x14ac:dyDescent="0.25"/>
    <row r="1368" s="42" customFormat="1" ht="15" customHeight="1" x14ac:dyDescent="0.25"/>
    <row r="1369" s="42" customFormat="1" ht="15" customHeight="1" x14ac:dyDescent="0.25"/>
    <row r="1370" s="42" customFormat="1" ht="15" customHeight="1" x14ac:dyDescent="0.25"/>
    <row r="1371" s="42" customFormat="1" ht="15" customHeight="1" x14ac:dyDescent="0.25"/>
    <row r="1372" s="42" customFormat="1" ht="15" customHeight="1" x14ac:dyDescent="0.25"/>
    <row r="1373" s="42" customFormat="1" ht="15" customHeight="1" x14ac:dyDescent="0.25"/>
    <row r="1374" s="42" customFormat="1" ht="15" customHeight="1" x14ac:dyDescent="0.25"/>
    <row r="1375" s="42" customFormat="1" ht="15" customHeight="1" x14ac:dyDescent="0.25"/>
    <row r="1376" s="42" customFormat="1" ht="15" customHeight="1" x14ac:dyDescent="0.25"/>
    <row r="1377" s="42" customFormat="1" ht="15" customHeight="1" x14ac:dyDescent="0.25"/>
    <row r="1378" s="42" customFormat="1" ht="15" customHeight="1" x14ac:dyDescent="0.25"/>
    <row r="1379" s="42" customFormat="1" ht="15" customHeight="1" x14ac:dyDescent="0.25"/>
    <row r="1380" s="42" customFormat="1" ht="15" customHeight="1" x14ac:dyDescent="0.25"/>
    <row r="1381" s="42" customFormat="1" ht="15" customHeight="1" x14ac:dyDescent="0.25"/>
    <row r="1382" s="42" customFormat="1" ht="15" customHeight="1" x14ac:dyDescent="0.25"/>
    <row r="1383" s="42" customFormat="1" ht="15" customHeight="1" x14ac:dyDescent="0.25"/>
    <row r="1384" s="42" customFormat="1" ht="15" customHeight="1" x14ac:dyDescent="0.25"/>
    <row r="1385" s="42" customFormat="1" ht="15" customHeight="1" x14ac:dyDescent="0.25"/>
    <row r="1386" s="42" customFormat="1" ht="15" customHeight="1" x14ac:dyDescent="0.25"/>
    <row r="1387" s="42" customFormat="1" ht="15" customHeight="1" x14ac:dyDescent="0.25"/>
    <row r="1388" s="42" customFormat="1" ht="15" customHeight="1" x14ac:dyDescent="0.25"/>
    <row r="1389" s="42" customFormat="1" ht="15" customHeight="1" x14ac:dyDescent="0.25"/>
    <row r="1390" s="42" customFormat="1" ht="15" customHeight="1" x14ac:dyDescent="0.25"/>
    <row r="1391" s="42" customFormat="1" ht="15" customHeight="1" x14ac:dyDescent="0.25"/>
    <row r="1392" s="42" customFormat="1" ht="15" customHeight="1" x14ac:dyDescent="0.25"/>
    <row r="1393" s="42" customFormat="1" ht="15" customHeight="1" x14ac:dyDescent="0.25"/>
    <row r="1394" s="42" customFormat="1" ht="15" customHeight="1" x14ac:dyDescent="0.25"/>
    <row r="1395" s="42" customFormat="1" ht="15" customHeight="1" x14ac:dyDescent="0.25"/>
    <row r="1396" s="42" customFormat="1" ht="15" customHeight="1" x14ac:dyDescent="0.25"/>
    <row r="1397" s="42" customFormat="1" ht="15" customHeight="1" x14ac:dyDescent="0.25"/>
    <row r="1398" s="42" customFormat="1" ht="15" customHeight="1" x14ac:dyDescent="0.25"/>
    <row r="1399" s="42" customFormat="1" ht="15" customHeight="1" x14ac:dyDescent="0.25"/>
  </sheetData>
  <mergeCells count="4">
    <mergeCell ref="B2:AF2"/>
    <mergeCell ref="A11:AG11"/>
    <mergeCell ref="A2:A3"/>
    <mergeCell ref="AG2:AG3"/>
  </mergeCells>
  <conditionalFormatting sqref="B5:AF9">
    <cfRule type="expression" priority="1" stopIfTrue="1">
      <formula>B5=""</formula>
    </cfRule>
    <cfRule type="expression" dxfId="14" priority="2" stopIfTrue="1">
      <formula>B5=KeyCustom2</formula>
    </cfRule>
    <cfRule type="expression" dxfId="13" priority="3" stopIfTrue="1">
      <formula>B5=KeyCustom1</formula>
    </cfRule>
    <cfRule type="expression" dxfId="12" priority="4" stopIfTrue="1">
      <formula>B5=KeySick</formula>
    </cfRule>
    <cfRule type="expression" dxfId="11" priority="5" stopIfTrue="1">
      <formula>B5=KeyPersonal</formula>
    </cfRule>
    <cfRule type="expression" dxfId="10" priority="6" stopIfTrue="1">
      <formula>B5=KeyVacation</formula>
    </cfRule>
  </conditionalFormatting>
  <conditionalFormatting sqref="AG5:AG9">
    <cfRule type="dataBar" priority="7">
      <dataBar>
        <cfvo type="min"/>
        <cfvo type="num" val="31"/>
        <color theme="2" tint="-0.249977111117893"/>
      </dataBar>
      <extLst>
        <ext xmlns:x14="http://schemas.microsoft.com/office/spreadsheetml/2009/9/main" uri="{B025F937-C7B1-47D3-B67F-A62EFF666E3E}">
          <x14:id>{772E323A-A1DA-474E-AB0D-A49696BEC436}</x14:id>
        </ext>
      </extLst>
    </cfRule>
  </conditionalFormatting>
  <printOptions horizontalCentered="1"/>
  <pageMargins left="0.25" right="0.25" top="0.75" bottom="0.75" header="0.3" footer="0.3"/>
  <pageSetup scale="67" fitToHeight="0" orientation="landscape"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72E323A-A1DA-474E-AB0D-A49696BEC436}">
            <x14:dataBar minLength="0" maxLength="100">
              <x14:cfvo type="autoMin"/>
              <x14:cfvo type="num">
                <xm:f>31</xm:f>
              </x14:cfvo>
              <x14:negativeFillColor rgb="FFFF0000"/>
              <x14:axisColor rgb="FF000000"/>
            </x14:dataBar>
          </x14:cfRule>
          <xm:sqref>AG5:AG9</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BQ34"/>
  <sheetViews>
    <sheetView showGridLines="0" workbookViewId="0"/>
  </sheetViews>
  <sheetFormatPr defaultColWidth="3.140625" defaultRowHeight="17.25" x14ac:dyDescent="0.3"/>
  <cols>
    <col min="1" max="1" width="3" style="89" customWidth="1"/>
    <col min="2" max="2" width="18.140625" style="92" customWidth="1"/>
    <col min="3" max="5" width="8.28515625" style="90" customWidth="1"/>
    <col min="6" max="6" width="9.5703125" style="90" customWidth="1"/>
    <col min="7" max="7" width="8.28515625" style="91" customWidth="1"/>
    <col min="8" max="8" width="4.85546875" style="90" customWidth="1"/>
    <col min="9" max="28" width="3.140625" style="90"/>
    <col min="29" max="16384" width="3.140625" style="89"/>
  </cols>
  <sheetData>
    <row r="2" spans="2:69" ht="15" x14ac:dyDescent="0.25">
      <c r="B2" s="100" t="s">
        <v>228</v>
      </c>
      <c r="C2" s="100"/>
      <c r="D2" s="100"/>
      <c r="E2" s="100"/>
      <c r="F2" s="100"/>
      <c r="G2" s="100"/>
    </row>
    <row r="3" spans="2:69" ht="21" customHeight="1" x14ac:dyDescent="0.25">
      <c r="B3" s="100"/>
      <c r="C3" s="100"/>
      <c r="D3" s="100"/>
      <c r="E3" s="100"/>
      <c r="F3" s="100"/>
      <c r="G3" s="100"/>
      <c r="I3" s="108" t="s">
        <v>227</v>
      </c>
      <c r="J3" s="108"/>
      <c r="K3" s="108"/>
      <c r="L3" s="108"/>
      <c r="M3" s="108"/>
      <c r="N3" s="109">
        <v>1</v>
      </c>
      <c r="O3" s="108"/>
      <c r="Q3" s="107"/>
      <c r="R3" s="105" t="s">
        <v>226</v>
      </c>
      <c r="T3" s="106"/>
      <c r="U3" s="105" t="s">
        <v>6</v>
      </c>
      <c r="X3" s="104"/>
      <c r="Y3" s="101" t="s">
        <v>225</v>
      </c>
      <c r="AC3" s="103"/>
      <c r="AD3" s="101" t="s">
        <v>224</v>
      </c>
      <c r="AG3" s="90"/>
      <c r="AH3" s="90"/>
      <c r="AI3" s="90"/>
      <c r="AJ3" s="90"/>
      <c r="AK3" s="102"/>
      <c r="AL3" s="101" t="s">
        <v>223</v>
      </c>
    </row>
    <row r="4" spans="2:69" ht="18.75" customHeight="1" x14ac:dyDescent="0.25">
      <c r="B4" s="100"/>
      <c r="C4" s="100"/>
      <c r="D4" s="100"/>
      <c r="E4" s="100"/>
      <c r="F4" s="100"/>
      <c r="G4" s="100"/>
      <c r="AT4" s="90"/>
      <c r="AU4" s="90"/>
      <c r="AV4" s="90"/>
      <c r="AW4" s="90"/>
      <c r="AX4" s="90"/>
    </row>
    <row r="5" spans="2:69" x14ac:dyDescent="0.3">
      <c r="AT5" s="90"/>
      <c r="AU5" s="90"/>
      <c r="AV5" s="90"/>
    </row>
    <row r="6" spans="2:69" ht="15" x14ac:dyDescent="0.25">
      <c r="B6" s="98"/>
      <c r="C6" s="98" t="s">
        <v>222</v>
      </c>
      <c r="D6" s="98" t="s">
        <v>222</v>
      </c>
      <c r="E6" s="98" t="s">
        <v>221</v>
      </c>
      <c r="F6" s="98" t="s">
        <v>221</v>
      </c>
      <c r="G6" s="98" t="s">
        <v>220</v>
      </c>
      <c r="H6" s="98"/>
      <c r="I6" s="98"/>
      <c r="J6" s="98"/>
      <c r="AT6" s="90"/>
      <c r="AU6" s="90"/>
      <c r="AV6" s="90"/>
    </row>
    <row r="7" spans="2:69" ht="13.5" customHeight="1" x14ac:dyDescent="0.25">
      <c r="B7" s="99" t="s">
        <v>219</v>
      </c>
      <c r="C7" s="98" t="s">
        <v>218</v>
      </c>
      <c r="D7" s="98" t="s">
        <v>217</v>
      </c>
      <c r="E7" s="98" t="s">
        <v>218</v>
      </c>
      <c r="F7" s="98" t="s">
        <v>217</v>
      </c>
      <c r="G7" s="98" t="s">
        <v>216</v>
      </c>
      <c r="H7" s="98"/>
      <c r="I7" s="98" t="s">
        <v>215</v>
      </c>
      <c r="J7" s="98"/>
    </row>
    <row r="8" spans="2:69" ht="15.75" customHeight="1" x14ac:dyDescent="0.25">
      <c r="B8" s="97"/>
      <c r="C8" s="97"/>
      <c r="D8" s="97"/>
      <c r="E8" s="97"/>
      <c r="F8" s="97"/>
      <c r="G8" s="97"/>
      <c r="H8" s="97"/>
      <c r="I8" s="97">
        <v>1</v>
      </c>
      <c r="J8" s="97">
        <v>2</v>
      </c>
      <c r="K8" s="97">
        <v>3</v>
      </c>
      <c r="L8" s="97">
        <v>4</v>
      </c>
      <c r="M8" s="97">
        <v>5</v>
      </c>
      <c r="N8" s="97">
        <v>6</v>
      </c>
      <c r="O8" s="97">
        <v>7</v>
      </c>
      <c r="P8" s="97">
        <v>8</v>
      </c>
      <c r="Q8" s="97">
        <v>9</v>
      </c>
      <c r="R8" s="97">
        <v>10</v>
      </c>
      <c r="S8" s="97">
        <v>11</v>
      </c>
      <c r="T8" s="97">
        <v>12</v>
      </c>
      <c r="U8" s="97">
        <v>13</v>
      </c>
      <c r="V8" s="97">
        <v>14</v>
      </c>
      <c r="W8" s="97">
        <v>15</v>
      </c>
      <c r="X8" s="97">
        <v>16</v>
      </c>
      <c r="Y8" s="97">
        <v>17</v>
      </c>
      <c r="Z8" s="97">
        <v>18</v>
      </c>
      <c r="AA8" s="97">
        <v>19</v>
      </c>
      <c r="AB8" s="97">
        <v>20</v>
      </c>
      <c r="AC8" s="97">
        <v>21</v>
      </c>
      <c r="AD8" s="97">
        <v>22</v>
      </c>
      <c r="AE8" s="97">
        <v>23</v>
      </c>
      <c r="AF8" s="97">
        <v>24</v>
      </c>
      <c r="AG8" s="97">
        <v>25</v>
      </c>
      <c r="AH8" s="97">
        <v>26</v>
      </c>
      <c r="AI8" s="97">
        <v>27</v>
      </c>
      <c r="AJ8" s="97">
        <v>28</v>
      </c>
      <c r="AK8" s="97">
        <v>29</v>
      </c>
      <c r="AL8" s="97">
        <v>30</v>
      </c>
      <c r="AM8" s="97">
        <v>31</v>
      </c>
      <c r="AN8" s="97">
        <v>32</v>
      </c>
      <c r="AO8" s="97">
        <v>33</v>
      </c>
      <c r="AP8" s="97">
        <v>34</v>
      </c>
      <c r="AQ8" s="97">
        <v>35</v>
      </c>
      <c r="AR8" s="97">
        <v>36</v>
      </c>
      <c r="AS8" s="97">
        <v>37</v>
      </c>
      <c r="AT8" s="97">
        <v>38</v>
      </c>
      <c r="AU8" s="97">
        <v>39</v>
      </c>
      <c r="AV8" s="97">
        <v>40</v>
      </c>
      <c r="AW8" s="97">
        <v>41</v>
      </c>
      <c r="AX8" s="97">
        <v>42</v>
      </c>
      <c r="AY8" s="97">
        <v>43</v>
      </c>
      <c r="AZ8" s="97">
        <v>44</v>
      </c>
      <c r="BA8" s="97">
        <v>45</v>
      </c>
      <c r="BB8" s="97">
        <v>46</v>
      </c>
      <c r="BC8" s="97">
        <v>47</v>
      </c>
      <c r="BD8" s="97">
        <v>48</v>
      </c>
      <c r="BE8" s="97">
        <v>49</v>
      </c>
      <c r="BF8" s="97">
        <v>50</v>
      </c>
      <c r="BG8" s="97">
        <v>51</v>
      </c>
      <c r="BH8" s="97">
        <v>52</v>
      </c>
      <c r="BI8" s="97">
        <v>53</v>
      </c>
      <c r="BJ8" s="97">
        <v>54</v>
      </c>
      <c r="BK8" s="97">
        <v>55</v>
      </c>
      <c r="BL8" s="97">
        <v>56</v>
      </c>
      <c r="BM8" s="97">
        <v>57</v>
      </c>
      <c r="BN8" s="97">
        <v>58</v>
      </c>
      <c r="BO8" s="97">
        <v>59</v>
      </c>
      <c r="BP8" s="97">
        <v>60</v>
      </c>
      <c r="BQ8" s="90"/>
    </row>
    <row r="9" spans="2:69" ht="18.95" customHeight="1" x14ac:dyDescent="0.3">
      <c r="B9" s="95" t="s">
        <v>214</v>
      </c>
      <c r="C9" s="94">
        <v>1</v>
      </c>
      <c r="D9" s="94">
        <v>5</v>
      </c>
      <c r="E9" s="94">
        <v>1</v>
      </c>
      <c r="F9" s="94">
        <v>4</v>
      </c>
      <c r="G9" s="93">
        <v>0.25</v>
      </c>
    </row>
    <row r="10" spans="2:69" ht="18.75" customHeight="1" x14ac:dyDescent="0.3">
      <c r="B10" s="95" t="s">
        <v>213</v>
      </c>
      <c r="C10" s="94">
        <v>1</v>
      </c>
      <c r="D10" s="94">
        <v>6</v>
      </c>
      <c r="E10" s="94">
        <v>1</v>
      </c>
      <c r="F10" s="94">
        <v>6</v>
      </c>
      <c r="G10" s="93">
        <v>1</v>
      </c>
    </row>
    <row r="11" spans="2:69" ht="18.95" customHeight="1" x14ac:dyDescent="0.3">
      <c r="B11" s="95" t="s">
        <v>212</v>
      </c>
      <c r="C11" s="94">
        <v>2</v>
      </c>
      <c r="D11" s="94">
        <v>4</v>
      </c>
      <c r="E11" s="94">
        <v>2</v>
      </c>
      <c r="F11" s="94">
        <v>5</v>
      </c>
      <c r="G11" s="93">
        <v>0.35</v>
      </c>
    </row>
    <row r="12" spans="2:69" ht="18.95" customHeight="1" x14ac:dyDescent="0.3">
      <c r="B12" s="95" t="s">
        <v>211</v>
      </c>
      <c r="C12" s="94">
        <v>4</v>
      </c>
      <c r="D12" s="94">
        <v>8</v>
      </c>
      <c r="E12" s="94">
        <v>4</v>
      </c>
      <c r="F12" s="94">
        <v>6</v>
      </c>
      <c r="G12" s="93">
        <v>0.1</v>
      </c>
    </row>
    <row r="13" spans="2:69" ht="18.95" customHeight="1" x14ac:dyDescent="0.3">
      <c r="B13" s="95" t="s">
        <v>210</v>
      </c>
      <c r="C13" s="94">
        <v>4</v>
      </c>
      <c r="D13" s="94">
        <v>2</v>
      </c>
      <c r="E13" s="94">
        <v>4</v>
      </c>
      <c r="F13" s="94">
        <v>8</v>
      </c>
      <c r="G13" s="93">
        <v>0.85</v>
      </c>
    </row>
    <row r="14" spans="2:69" ht="18.95" customHeight="1" x14ac:dyDescent="0.3">
      <c r="B14" s="95" t="s">
        <v>209</v>
      </c>
      <c r="C14" s="94">
        <v>4</v>
      </c>
      <c r="D14" s="94">
        <v>3</v>
      </c>
      <c r="E14" s="94">
        <v>4</v>
      </c>
      <c r="F14" s="94">
        <v>6</v>
      </c>
      <c r="G14" s="93">
        <v>0.85</v>
      </c>
    </row>
    <row r="15" spans="2:69" ht="18.95" customHeight="1" x14ac:dyDescent="0.3">
      <c r="B15" s="95" t="s">
        <v>208</v>
      </c>
      <c r="C15" s="94">
        <v>5</v>
      </c>
      <c r="D15" s="94">
        <v>4</v>
      </c>
      <c r="E15" s="94">
        <v>5</v>
      </c>
      <c r="F15" s="94">
        <v>3</v>
      </c>
      <c r="G15" s="93">
        <v>0.5</v>
      </c>
    </row>
    <row r="16" spans="2:69" ht="18.95" customHeight="1" x14ac:dyDescent="0.3">
      <c r="B16" s="95" t="s">
        <v>207</v>
      </c>
      <c r="C16" s="94">
        <v>5</v>
      </c>
      <c r="D16" s="94">
        <v>2</v>
      </c>
      <c r="E16" s="94">
        <v>5</v>
      </c>
      <c r="F16" s="94">
        <v>5</v>
      </c>
      <c r="G16" s="93">
        <v>0.6</v>
      </c>
    </row>
    <row r="17" spans="2:7" ht="18.95" customHeight="1" x14ac:dyDescent="0.3">
      <c r="B17" s="95" t="s">
        <v>206</v>
      </c>
      <c r="C17" s="94">
        <v>5</v>
      </c>
      <c r="D17" s="94">
        <v>2</v>
      </c>
      <c r="E17" s="94">
        <v>5</v>
      </c>
      <c r="F17" s="94">
        <v>6</v>
      </c>
      <c r="G17" s="93">
        <v>0.75</v>
      </c>
    </row>
    <row r="18" spans="2:7" ht="18.95" customHeight="1" x14ac:dyDescent="0.3">
      <c r="B18" s="95" t="s">
        <v>205</v>
      </c>
      <c r="C18" s="94">
        <v>6</v>
      </c>
      <c r="D18" s="94">
        <v>5</v>
      </c>
      <c r="E18" s="94">
        <v>6</v>
      </c>
      <c r="F18" s="94">
        <v>7</v>
      </c>
      <c r="G18" s="93">
        <v>1</v>
      </c>
    </row>
    <row r="19" spans="2:7" ht="18.95" customHeight="1" x14ac:dyDescent="0.3">
      <c r="B19" s="95" t="s">
        <v>204</v>
      </c>
      <c r="C19" s="96">
        <v>6</v>
      </c>
      <c r="D19" s="94">
        <v>1</v>
      </c>
      <c r="E19" s="94">
        <v>5</v>
      </c>
      <c r="F19" s="94">
        <v>8</v>
      </c>
      <c r="G19" s="93">
        <v>0.6</v>
      </c>
    </row>
    <row r="20" spans="2:7" ht="18.95" customHeight="1" x14ac:dyDescent="0.3">
      <c r="B20" s="95" t="s">
        <v>203</v>
      </c>
      <c r="C20" s="94">
        <v>9</v>
      </c>
      <c r="D20" s="94">
        <v>3</v>
      </c>
      <c r="E20" s="94">
        <v>9</v>
      </c>
      <c r="F20" s="94">
        <v>3</v>
      </c>
      <c r="G20" s="93">
        <v>0</v>
      </c>
    </row>
    <row r="21" spans="2:7" ht="18.95" customHeight="1" x14ac:dyDescent="0.3">
      <c r="B21" s="95" t="s">
        <v>202</v>
      </c>
      <c r="C21" s="94">
        <v>9</v>
      </c>
      <c r="D21" s="94">
        <v>6</v>
      </c>
      <c r="E21" s="94">
        <v>9</v>
      </c>
      <c r="F21" s="94">
        <v>7</v>
      </c>
      <c r="G21" s="93">
        <v>0.5</v>
      </c>
    </row>
    <row r="22" spans="2:7" ht="18.95" customHeight="1" x14ac:dyDescent="0.3">
      <c r="B22" s="95" t="s">
        <v>201</v>
      </c>
      <c r="C22" s="94">
        <v>9</v>
      </c>
      <c r="D22" s="94">
        <v>3</v>
      </c>
      <c r="E22" s="94">
        <v>9</v>
      </c>
      <c r="F22" s="94">
        <v>1</v>
      </c>
      <c r="G22" s="93">
        <v>0</v>
      </c>
    </row>
    <row r="23" spans="2:7" ht="18.95" customHeight="1" x14ac:dyDescent="0.3">
      <c r="B23" s="95" t="s">
        <v>200</v>
      </c>
      <c r="C23" s="94">
        <v>9</v>
      </c>
      <c r="D23" s="94">
        <v>4</v>
      </c>
      <c r="E23" s="94">
        <v>8</v>
      </c>
      <c r="F23" s="94">
        <v>5</v>
      </c>
      <c r="G23" s="93">
        <v>0.01</v>
      </c>
    </row>
    <row r="24" spans="2:7" ht="18.95" customHeight="1" x14ac:dyDescent="0.3">
      <c r="B24" s="95" t="s">
        <v>199</v>
      </c>
      <c r="C24" s="94">
        <v>10</v>
      </c>
      <c r="D24" s="94">
        <v>5</v>
      </c>
      <c r="E24" s="94">
        <v>10</v>
      </c>
      <c r="F24" s="94">
        <v>3</v>
      </c>
      <c r="G24" s="93">
        <v>0.8</v>
      </c>
    </row>
    <row r="25" spans="2:7" ht="18.95" customHeight="1" x14ac:dyDescent="0.3">
      <c r="B25" s="95" t="s">
        <v>198</v>
      </c>
      <c r="C25" s="94">
        <v>11</v>
      </c>
      <c r="D25" s="94">
        <v>2</v>
      </c>
      <c r="E25" s="94">
        <v>11</v>
      </c>
      <c r="F25" s="94">
        <v>5</v>
      </c>
      <c r="G25" s="93">
        <v>0</v>
      </c>
    </row>
    <row r="26" spans="2:7" ht="18.95" customHeight="1" x14ac:dyDescent="0.3">
      <c r="B26" s="95" t="s">
        <v>197</v>
      </c>
      <c r="C26" s="94">
        <v>12</v>
      </c>
      <c r="D26" s="94">
        <v>6</v>
      </c>
      <c r="E26" s="94">
        <v>12</v>
      </c>
      <c r="F26" s="94">
        <v>7</v>
      </c>
      <c r="G26" s="93">
        <v>0</v>
      </c>
    </row>
    <row r="27" spans="2:7" ht="18.95" customHeight="1" x14ac:dyDescent="0.3">
      <c r="B27" s="95" t="s">
        <v>196</v>
      </c>
      <c r="C27" s="94">
        <v>12</v>
      </c>
      <c r="D27" s="94">
        <v>1</v>
      </c>
      <c r="E27" s="94">
        <v>12</v>
      </c>
      <c r="F27" s="94">
        <v>5</v>
      </c>
      <c r="G27" s="93">
        <v>0</v>
      </c>
    </row>
    <row r="28" spans="2:7" ht="18.95" customHeight="1" x14ac:dyDescent="0.3">
      <c r="B28" s="95" t="s">
        <v>195</v>
      </c>
      <c r="C28" s="94">
        <v>14</v>
      </c>
      <c r="D28" s="94">
        <v>5</v>
      </c>
      <c r="E28" s="94">
        <v>14</v>
      </c>
      <c r="F28" s="94">
        <v>6</v>
      </c>
      <c r="G28" s="93">
        <v>0</v>
      </c>
    </row>
    <row r="29" spans="2:7" ht="18.95" customHeight="1" x14ac:dyDescent="0.3">
      <c r="B29" s="95" t="s">
        <v>194</v>
      </c>
      <c r="C29" s="94">
        <v>14</v>
      </c>
      <c r="D29" s="94">
        <v>8</v>
      </c>
      <c r="E29" s="94">
        <v>14</v>
      </c>
      <c r="F29" s="94">
        <v>2</v>
      </c>
      <c r="G29" s="93">
        <v>0.44</v>
      </c>
    </row>
    <row r="30" spans="2:7" ht="18.95" customHeight="1" x14ac:dyDescent="0.3">
      <c r="B30" s="95" t="s">
        <v>193</v>
      </c>
      <c r="C30" s="94">
        <v>14</v>
      </c>
      <c r="D30" s="94">
        <v>7</v>
      </c>
      <c r="E30" s="94">
        <v>14</v>
      </c>
      <c r="F30" s="94">
        <v>3</v>
      </c>
      <c r="G30" s="93">
        <v>0</v>
      </c>
    </row>
    <row r="31" spans="2:7" ht="18.95" customHeight="1" x14ac:dyDescent="0.3">
      <c r="B31" s="95" t="s">
        <v>192</v>
      </c>
      <c r="C31" s="94">
        <v>15</v>
      </c>
      <c r="D31" s="94">
        <v>4</v>
      </c>
      <c r="E31" s="94">
        <v>15</v>
      </c>
      <c r="F31" s="94">
        <v>8</v>
      </c>
      <c r="G31" s="93">
        <v>0.12</v>
      </c>
    </row>
    <row r="32" spans="2:7" ht="18.95" customHeight="1" x14ac:dyDescent="0.3">
      <c r="B32" s="95" t="s">
        <v>191</v>
      </c>
      <c r="C32" s="94">
        <v>15</v>
      </c>
      <c r="D32" s="94">
        <v>5</v>
      </c>
      <c r="E32" s="94">
        <v>15</v>
      </c>
      <c r="F32" s="94">
        <v>3</v>
      </c>
      <c r="G32" s="93">
        <v>0.05</v>
      </c>
    </row>
    <row r="33" spans="2:7" ht="18.95" customHeight="1" x14ac:dyDescent="0.3">
      <c r="B33" s="95" t="s">
        <v>190</v>
      </c>
      <c r="C33" s="94">
        <v>15</v>
      </c>
      <c r="D33" s="94">
        <v>8</v>
      </c>
      <c r="E33" s="94">
        <v>15</v>
      </c>
      <c r="F33" s="94">
        <v>5</v>
      </c>
      <c r="G33" s="93">
        <v>0</v>
      </c>
    </row>
    <row r="34" spans="2:7" ht="18.95" customHeight="1" x14ac:dyDescent="0.3">
      <c r="B34" s="95" t="s">
        <v>189</v>
      </c>
      <c r="C34" s="94">
        <v>16</v>
      </c>
      <c r="D34" s="94">
        <v>28</v>
      </c>
      <c r="E34" s="94">
        <v>16</v>
      </c>
      <c r="F34" s="94">
        <v>30</v>
      </c>
      <c r="G34" s="93">
        <v>0.5</v>
      </c>
    </row>
  </sheetData>
  <mergeCells count="1">
    <mergeCell ref="B2:G4"/>
  </mergeCells>
  <conditionalFormatting sqref="I9:BP34">
    <cfRule type="expression" dxfId="9" priority="1">
      <formula>PercentComplete</formula>
    </cfRule>
    <cfRule type="expression" dxfId="8" priority="3">
      <formula>PercentCompleteBeyond</formula>
    </cfRule>
    <cfRule type="expression" dxfId="7" priority="4">
      <formula>Actual</formula>
    </cfRule>
    <cfRule type="expression" dxfId="6" priority="5">
      <formula>ActualBeyond</formula>
    </cfRule>
    <cfRule type="expression" dxfId="5" priority="6">
      <formula>Plan</formula>
    </cfRule>
    <cfRule type="expression" dxfId="4" priority="7">
      <formula>I$8=period_selected</formula>
    </cfRule>
    <cfRule type="expression" dxfId="3" priority="9">
      <formula>MOD(COLUMN(),2)</formula>
    </cfRule>
    <cfRule type="expression" dxfId="2" priority="10">
      <formula>MOD(COLUMN(),2)=0</formula>
    </cfRule>
  </conditionalFormatting>
  <conditionalFormatting sqref="B35:BP35">
    <cfRule type="expression" dxfId="1" priority="2">
      <formula>TRUE</formula>
    </cfRule>
  </conditionalFormatting>
  <conditionalFormatting sqref="I8:BP8">
    <cfRule type="expression" dxfId="0" priority="8">
      <formula>I$8=period_selected</formula>
    </cfRule>
  </conditionalFormatting>
  <pageMargins left="0.45" right="0.45" top="0.5" bottom="0.5" header="0.3" footer="0.3"/>
  <pageSetup scale="42" fitToHeight="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4097" r:id="rId4" name="Spinner 1">
              <controlPr defaultSize="0" print="0" autoPict="0" altText="Period Highlight Spin Control">
                <anchor moveWithCells="1">
                  <from>
                    <xdr:col>14</xdr:col>
                    <xdr:colOff>66675</xdr:colOff>
                    <xdr:row>2</xdr:row>
                    <xdr:rowOff>28575</xdr:rowOff>
                  </from>
                  <to>
                    <xdr:col>14</xdr:col>
                    <xdr:colOff>200025</xdr:colOff>
                    <xdr:row>2</xdr:row>
                    <xdr:rowOff>257175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autoPageBreaks="0"/>
  </sheetPr>
  <dimension ref="B2:G33"/>
  <sheetViews>
    <sheetView showGridLines="0" workbookViewId="0"/>
  </sheetViews>
  <sheetFormatPr defaultRowHeight="12.75" x14ac:dyDescent="0.2"/>
  <cols>
    <col min="1" max="1" width="1.7109375" style="18" customWidth="1"/>
    <col min="2" max="3" width="21" style="18" customWidth="1"/>
    <col min="4" max="4" width="17.85546875" style="31" customWidth="1"/>
    <col min="5" max="7" width="21" style="18" customWidth="1"/>
    <col min="8" max="16384" width="9.140625" style="18"/>
  </cols>
  <sheetData>
    <row r="2" spans="2:7" ht="28.5" x14ac:dyDescent="0.45">
      <c r="B2" s="23" t="str">
        <f>DASHBOARD!B2</f>
        <v>Event Budget for [Event Name]</v>
      </c>
      <c r="C2" s="23"/>
      <c r="D2" s="37"/>
      <c r="E2" s="23"/>
      <c r="F2" s="23"/>
      <c r="G2" s="23"/>
    </row>
    <row r="3" spans="2:7" ht="18.75" x14ac:dyDescent="0.3">
      <c r="B3" s="22" t="s">
        <v>138</v>
      </c>
      <c r="C3" s="22"/>
      <c r="D3" s="36"/>
      <c r="E3" s="22"/>
      <c r="F3" s="22"/>
      <c r="G3" s="22"/>
    </row>
    <row r="4" spans="2:7" ht="15.75" x14ac:dyDescent="0.25">
      <c r="E4" s="30" t="s">
        <v>73</v>
      </c>
      <c r="F4" s="29" t="s">
        <v>86</v>
      </c>
      <c r="G4" s="29" t="s">
        <v>6</v>
      </c>
    </row>
    <row r="5" spans="2:7" ht="15.75" x14ac:dyDescent="0.25">
      <c r="F5" s="28">
        <f>SUBTOTAL(109,tblAdmissions[[Estimated ]],tblAds[[Estimated ]],tblVendors[[Estimated ]],tblItems[[Estimated ]])</f>
        <v>1936</v>
      </c>
      <c r="G5" s="28">
        <f>SUBTOTAL(109,tblAdmissions[[Actual ]],tblAds[[Actual ]],tblVendors[[Actual ]],tblItems[[Actual ]])</f>
        <v>1831</v>
      </c>
    </row>
    <row r="6" spans="2:7" ht="15.75" x14ac:dyDescent="0.25">
      <c r="B6" s="35" t="s">
        <v>137</v>
      </c>
    </row>
    <row r="7" spans="2:7" x14ac:dyDescent="0.2">
      <c r="B7" s="27" t="s">
        <v>86</v>
      </c>
      <c r="C7" s="27" t="s">
        <v>6</v>
      </c>
      <c r="D7" s="34" t="s">
        <v>78</v>
      </c>
      <c r="E7" s="27" t="s">
        <v>83</v>
      </c>
      <c r="F7" s="27" t="s">
        <v>124</v>
      </c>
      <c r="G7" s="27" t="s">
        <v>123</v>
      </c>
    </row>
    <row r="8" spans="2:7" x14ac:dyDescent="0.2">
      <c r="B8" s="26">
        <v>300</v>
      </c>
      <c r="C8" s="26">
        <v>278</v>
      </c>
      <c r="D8" s="33" t="s">
        <v>136</v>
      </c>
      <c r="E8" s="25">
        <v>5</v>
      </c>
      <c r="F8" s="32">
        <f>tblAdmissions[[#This Row],[  ]]*tblAdmissions[[#This Row],[Estimated]]</f>
        <v>1500</v>
      </c>
      <c r="G8" s="32">
        <f>tblAdmissions[[#This Row],[  ]]*tblAdmissions[[#This Row],[Actual]]</f>
        <v>1390</v>
      </c>
    </row>
    <row r="9" spans="2:7" x14ac:dyDescent="0.2">
      <c r="B9" s="26">
        <v>197</v>
      </c>
      <c r="C9" s="26">
        <v>195</v>
      </c>
      <c r="D9" s="33" t="s">
        <v>135</v>
      </c>
      <c r="E9" s="25">
        <v>2</v>
      </c>
      <c r="F9" s="32">
        <f>tblAdmissions[[#This Row],[  ]]*tblAdmissions[[#This Row],[Estimated]]</f>
        <v>394</v>
      </c>
      <c r="G9" s="32">
        <f>tblAdmissions[[#This Row],[  ]]*tblAdmissions[[#This Row],[Actual]]</f>
        <v>390</v>
      </c>
    </row>
    <row r="10" spans="2:7" x14ac:dyDescent="0.2">
      <c r="B10" s="26">
        <v>42</v>
      </c>
      <c r="C10" s="26">
        <v>51</v>
      </c>
      <c r="D10" s="33" t="s">
        <v>134</v>
      </c>
      <c r="E10" s="25">
        <v>1</v>
      </c>
      <c r="F10" s="32">
        <f>tblAdmissions[[#This Row],[  ]]*tblAdmissions[[#This Row],[Estimated]]</f>
        <v>42</v>
      </c>
      <c r="G10" s="32">
        <f>tblAdmissions[[#This Row],[  ]]*tblAdmissions[[#This Row],[Actual]]</f>
        <v>51</v>
      </c>
    </row>
    <row r="11" spans="2:7" x14ac:dyDescent="0.2">
      <c r="B11" s="26" t="s">
        <v>89</v>
      </c>
      <c r="C11" s="26"/>
      <c r="D11" s="33"/>
      <c r="E11" s="25"/>
      <c r="F11" s="32">
        <f>SUBTOTAL(109,tblAdmissions[[Estimated ]])</f>
        <v>1936</v>
      </c>
      <c r="G11" s="32">
        <f>SUBTOTAL(109,tblAdmissions[[Actual ]])</f>
        <v>1831</v>
      </c>
    </row>
    <row r="13" spans="2:7" ht="15.75" x14ac:dyDescent="0.25">
      <c r="B13" s="35" t="s">
        <v>133</v>
      </c>
    </row>
    <row r="14" spans="2:7" x14ac:dyDescent="0.2">
      <c r="B14" s="27" t="s">
        <v>86</v>
      </c>
      <c r="C14" s="27" t="s">
        <v>6</v>
      </c>
      <c r="D14" s="34" t="s">
        <v>78</v>
      </c>
      <c r="E14" s="27" t="s">
        <v>83</v>
      </c>
      <c r="F14" s="27" t="s">
        <v>124</v>
      </c>
      <c r="G14" s="27" t="s">
        <v>123</v>
      </c>
    </row>
    <row r="15" spans="2:7" x14ac:dyDescent="0.2">
      <c r="B15" s="26"/>
      <c r="C15" s="26"/>
      <c r="D15" s="33" t="s">
        <v>132</v>
      </c>
      <c r="E15" s="26"/>
      <c r="F15" s="32">
        <f>tblAds[[#This Row],[  ]]*tblAds[[#This Row],[Estimated]]</f>
        <v>0</v>
      </c>
      <c r="G15" s="32">
        <f>tblAds[[#This Row],[  ]]*tblAds[[#This Row],[Actual]]</f>
        <v>0</v>
      </c>
    </row>
    <row r="16" spans="2:7" x14ac:dyDescent="0.2">
      <c r="B16" s="26"/>
      <c r="C16" s="26"/>
      <c r="D16" s="33" t="s">
        <v>131</v>
      </c>
      <c r="E16" s="26"/>
      <c r="F16" s="32">
        <f>tblAds[[#This Row],[  ]]*tblAds[[#This Row],[Estimated]]</f>
        <v>0</v>
      </c>
      <c r="G16" s="32">
        <f>tblAds[[#This Row],[  ]]*tblAds[[#This Row],[Actual]]</f>
        <v>0</v>
      </c>
    </row>
    <row r="17" spans="2:7" x14ac:dyDescent="0.2">
      <c r="B17" s="26"/>
      <c r="C17" s="26"/>
      <c r="D17" s="33" t="s">
        <v>130</v>
      </c>
      <c r="E17" s="26"/>
      <c r="F17" s="32">
        <f>tblAds[[#This Row],[  ]]*tblAds[[#This Row],[Estimated]]</f>
        <v>0</v>
      </c>
      <c r="G17" s="32">
        <f>tblAds[[#This Row],[  ]]*tblAds[[#This Row],[Actual]]</f>
        <v>0</v>
      </c>
    </row>
    <row r="18" spans="2:7" x14ac:dyDescent="0.2">
      <c r="B18" s="26" t="s">
        <v>89</v>
      </c>
      <c r="C18" s="26"/>
      <c r="D18" s="33"/>
      <c r="E18" s="26"/>
      <c r="F18" s="32">
        <f>SUBTOTAL(109,tblAds[[Estimated ]])</f>
        <v>0</v>
      </c>
      <c r="G18" s="32">
        <f>SUBTOTAL(109,tblAds[[Actual ]])</f>
        <v>0</v>
      </c>
    </row>
    <row r="20" spans="2:7" ht="15.75" x14ac:dyDescent="0.25">
      <c r="B20" s="35" t="s">
        <v>129</v>
      </c>
    </row>
    <row r="21" spans="2:7" x14ac:dyDescent="0.2">
      <c r="B21" s="27" t="s">
        <v>86</v>
      </c>
      <c r="C21" s="27" t="s">
        <v>6</v>
      </c>
      <c r="D21" s="34" t="s">
        <v>78</v>
      </c>
      <c r="E21" s="27" t="s">
        <v>83</v>
      </c>
      <c r="F21" s="27" t="s">
        <v>124</v>
      </c>
      <c r="G21" s="27" t="s">
        <v>123</v>
      </c>
    </row>
    <row r="22" spans="2:7" x14ac:dyDescent="0.2">
      <c r="B22" s="26"/>
      <c r="C22" s="26"/>
      <c r="D22" s="33" t="s">
        <v>128</v>
      </c>
      <c r="E22" s="26"/>
      <c r="F22" s="32">
        <f>tblVendors[[#This Row],[  ]]*tblVendors[[#This Row],[Estimated]]</f>
        <v>0</v>
      </c>
      <c r="G22" s="32">
        <f>tblVendors[[#This Row],[  ]]*tblVendors[[#This Row],[Actual]]</f>
        <v>0</v>
      </c>
    </row>
    <row r="23" spans="2:7" x14ac:dyDescent="0.2">
      <c r="B23" s="26"/>
      <c r="C23" s="26"/>
      <c r="D23" s="33" t="s">
        <v>127</v>
      </c>
      <c r="E23" s="26"/>
      <c r="F23" s="32">
        <f>tblVendors[[#This Row],[  ]]*tblVendors[[#This Row],[Estimated]]</f>
        <v>0</v>
      </c>
      <c r="G23" s="32">
        <f>tblVendors[[#This Row],[  ]]*tblVendors[[#This Row],[Actual]]</f>
        <v>0</v>
      </c>
    </row>
    <row r="24" spans="2:7" x14ac:dyDescent="0.2">
      <c r="B24" s="26"/>
      <c r="C24" s="26"/>
      <c r="D24" s="33" t="s">
        <v>126</v>
      </c>
      <c r="E24" s="26"/>
      <c r="F24" s="32">
        <f>tblVendors[[#This Row],[  ]]*tblVendors[[#This Row],[Estimated]]</f>
        <v>0</v>
      </c>
      <c r="G24" s="32">
        <f>tblVendors[[#This Row],[  ]]*tblVendors[[#This Row],[Actual]]</f>
        <v>0</v>
      </c>
    </row>
    <row r="25" spans="2:7" x14ac:dyDescent="0.2">
      <c r="B25" s="26" t="s">
        <v>89</v>
      </c>
      <c r="C25" s="26"/>
      <c r="D25" s="33"/>
      <c r="E25" s="26"/>
      <c r="F25" s="32">
        <f>SUBTOTAL(109,tblVendors[[Estimated ]])</f>
        <v>0</v>
      </c>
      <c r="G25" s="32">
        <f>SUBTOTAL(109,tblVendors[[Actual ]])</f>
        <v>0</v>
      </c>
    </row>
    <row r="27" spans="2:7" ht="15.75" x14ac:dyDescent="0.25">
      <c r="B27" s="35" t="s">
        <v>125</v>
      </c>
    </row>
    <row r="28" spans="2:7" x14ac:dyDescent="0.2">
      <c r="B28" s="27" t="s">
        <v>86</v>
      </c>
      <c r="C28" s="27" t="s">
        <v>6</v>
      </c>
      <c r="D28" s="34" t="s">
        <v>78</v>
      </c>
      <c r="E28" s="27" t="s">
        <v>83</v>
      </c>
      <c r="F28" s="27" t="s">
        <v>124</v>
      </c>
      <c r="G28" s="27" t="s">
        <v>123</v>
      </c>
    </row>
    <row r="29" spans="2:7" x14ac:dyDescent="0.2">
      <c r="B29" s="26"/>
      <c r="C29" s="26"/>
      <c r="D29" s="33" t="s">
        <v>122</v>
      </c>
      <c r="E29" s="26"/>
      <c r="F29" s="32">
        <f>tblItems[[#This Row],[  ]]*tblItems[[#This Row],[Estimated]]</f>
        <v>0</v>
      </c>
      <c r="G29" s="32">
        <f>tblItems[[#This Row],[  ]]*tblItems[[#This Row],[Actual]]</f>
        <v>0</v>
      </c>
    </row>
    <row r="30" spans="2:7" x14ac:dyDescent="0.2">
      <c r="B30" s="26"/>
      <c r="C30" s="26"/>
      <c r="D30" s="33" t="s">
        <v>122</v>
      </c>
      <c r="E30" s="26"/>
      <c r="F30" s="32">
        <f>tblItems[[#This Row],[  ]]*tblItems[[#This Row],[Estimated]]</f>
        <v>0</v>
      </c>
      <c r="G30" s="32">
        <f>tblItems[[#This Row],[  ]]*tblItems[[#This Row],[Actual]]</f>
        <v>0</v>
      </c>
    </row>
    <row r="31" spans="2:7" x14ac:dyDescent="0.2">
      <c r="B31" s="26"/>
      <c r="C31" s="26"/>
      <c r="D31" s="33" t="s">
        <v>122</v>
      </c>
      <c r="E31" s="26"/>
      <c r="F31" s="32">
        <f>tblItems[[#This Row],[  ]]*tblItems[[#This Row],[Estimated]]</f>
        <v>0</v>
      </c>
      <c r="G31" s="32">
        <f>tblItems[[#This Row],[  ]]*tblItems[[#This Row],[Actual]]</f>
        <v>0</v>
      </c>
    </row>
    <row r="32" spans="2:7" x14ac:dyDescent="0.2">
      <c r="B32" s="26"/>
      <c r="C32" s="26"/>
      <c r="D32" s="33" t="s">
        <v>122</v>
      </c>
      <c r="E32" s="26"/>
      <c r="F32" s="32">
        <f>tblItems[[#This Row],[  ]]*tblItems[[#This Row],[Estimated]]</f>
        <v>0</v>
      </c>
      <c r="G32" s="32">
        <f>tblItems[[#This Row],[  ]]*tblItems[[#This Row],[Actual]]</f>
        <v>0</v>
      </c>
    </row>
    <row r="33" spans="2:7" x14ac:dyDescent="0.2">
      <c r="B33" s="26" t="s">
        <v>89</v>
      </c>
      <c r="C33" s="26"/>
      <c r="D33" s="33"/>
      <c r="E33" s="26"/>
      <c r="F33" s="32">
        <f>SUBTOTAL(109,tblItems[[Estimated ]])</f>
        <v>0</v>
      </c>
      <c r="G33" s="32">
        <f>SUBTOTAL(109,tblItems[[Actual ]])</f>
        <v>0</v>
      </c>
    </row>
  </sheetData>
  <pageMargins left="0.4" right="0.4" top="0.4" bottom="0.4" header="0.3" footer="0.3"/>
  <pageSetup orientation="landscape" horizontalDpi="4294967293" verticalDpi="0" r:id="rId1"/>
  <headerFooter differentFirst="1">
    <oddFooter>Page &amp;P of &amp;N</oddFooter>
  </headerFooter>
  <tableParts count="4">
    <tablePart r:id="rId2"/>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autoPageBreaks="0" fitToPage="1"/>
  </sheetPr>
  <dimension ref="B2:H37"/>
  <sheetViews>
    <sheetView showGridLines="0" workbookViewId="0"/>
  </sheetViews>
  <sheetFormatPr defaultRowHeight="12.75" x14ac:dyDescent="0.2"/>
  <cols>
    <col min="1" max="1" width="1.7109375" style="18" customWidth="1"/>
    <col min="2" max="2" width="22.140625" style="18" customWidth="1"/>
    <col min="3" max="4" width="21" style="18" customWidth="1"/>
    <col min="5" max="5" width="2.7109375" style="18" customWidth="1"/>
    <col min="6" max="6" width="28.28515625" style="18" customWidth="1"/>
    <col min="7" max="8" width="21" style="18" customWidth="1"/>
    <col min="9" max="16384" width="9.140625" style="18"/>
  </cols>
  <sheetData>
    <row r="2" spans="2:8" ht="28.5" x14ac:dyDescent="0.45">
      <c r="B2" s="23" t="str">
        <f>DASHBOARD!B2</f>
        <v>Event Budget for [Event Name]</v>
      </c>
      <c r="C2" s="23"/>
      <c r="D2" s="23"/>
      <c r="E2" s="23"/>
      <c r="F2" s="23"/>
      <c r="G2" s="23"/>
      <c r="H2" s="23"/>
    </row>
    <row r="3" spans="2:8" ht="18.75" x14ac:dyDescent="0.3">
      <c r="B3" s="22" t="s">
        <v>121</v>
      </c>
      <c r="C3" s="22"/>
      <c r="D3" s="22"/>
      <c r="E3" s="22"/>
      <c r="F3" s="22"/>
      <c r="G3" s="22"/>
      <c r="H3" s="22"/>
    </row>
    <row r="4" spans="2:8" ht="15.75" x14ac:dyDescent="0.25">
      <c r="F4" s="30" t="s">
        <v>85</v>
      </c>
      <c r="G4" s="29" t="s">
        <v>86</v>
      </c>
      <c r="H4" s="29" t="s">
        <v>6</v>
      </c>
    </row>
    <row r="5" spans="2:8" ht="15.75" x14ac:dyDescent="0.25">
      <c r="G5" s="28">
        <f>SUBTOTAL(109,tblSite[Estimated],tblRefreshments[Estimated],tblPrograms[Estimated],tblDecorations[Estimated],tblPrizes[Estimated],tblPublicity[Estimated],tblMisc[Estimated])</f>
        <v>850</v>
      </c>
      <c r="H5" s="28">
        <f>SUBTOTAL(109,tblSite[Actual],tblRefreshments[Actual],tblPrograms[Actual],tblDecorations[Actual],tblPrizes[Actual],tblPublicity[Actual],tblMisc[Actual])</f>
        <v>300</v>
      </c>
    </row>
    <row r="7" spans="2:8" x14ac:dyDescent="0.2">
      <c r="B7" s="27" t="s">
        <v>120</v>
      </c>
      <c r="C7" s="27" t="s">
        <v>86</v>
      </c>
      <c r="D7" s="27" t="s">
        <v>6</v>
      </c>
      <c r="F7" s="27" t="s">
        <v>119</v>
      </c>
      <c r="G7" s="27" t="s">
        <v>86</v>
      </c>
      <c r="H7" s="27" t="s">
        <v>6</v>
      </c>
    </row>
    <row r="8" spans="2:8" x14ac:dyDescent="0.2">
      <c r="B8" s="26" t="s">
        <v>118</v>
      </c>
      <c r="C8" s="25">
        <v>500</v>
      </c>
      <c r="D8" s="25"/>
      <c r="F8" s="26" t="s">
        <v>41</v>
      </c>
      <c r="G8" s="25">
        <v>150</v>
      </c>
      <c r="H8" s="25"/>
    </row>
    <row r="9" spans="2:8" x14ac:dyDescent="0.2">
      <c r="B9" s="26" t="s">
        <v>117</v>
      </c>
      <c r="C9" s="25"/>
      <c r="D9" s="25"/>
      <c r="F9" s="26" t="s">
        <v>116</v>
      </c>
      <c r="G9" s="25"/>
      <c r="H9" s="25"/>
    </row>
    <row r="10" spans="2:8" x14ac:dyDescent="0.2">
      <c r="B10" s="26" t="s">
        <v>115</v>
      </c>
      <c r="C10" s="25"/>
      <c r="D10" s="25"/>
      <c r="F10" s="26" t="s">
        <v>114</v>
      </c>
      <c r="G10" s="25"/>
      <c r="H10" s="25"/>
    </row>
    <row r="11" spans="2:8" x14ac:dyDescent="0.2">
      <c r="B11" s="26" t="s">
        <v>113</v>
      </c>
      <c r="C11" s="25"/>
      <c r="D11" s="25"/>
      <c r="F11" s="26" t="s">
        <v>112</v>
      </c>
      <c r="G11" s="25"/>
      <c r="H11" s="25"/>
    </row>
    <row r="12" spans="2:8" x14ac:dyDescent="0.2">
      <c r="B12" s="26" t="s">
        <v>89</v>
      </c>
      <c r="C12" s="25">
        <f>SUBTOTAL(109,tblSite[Estimated])</f>
        <v>500</v>
      </c>
      <c r="D12" s="25">
        <f>SUBTOTAL(109,tblSite[Actual])</f>
        <v>0</v>
      </c>
      <c r="F12" s="26" t="s">
        <v>89</v>
      </c>
      <c r="G12" s="25">
        <f>SUBTOTAL(109,tblRefreshments[Estimated])</f>
        <v>150</v>
      </c>
      <c r="H12" s="25">
        <f>SUBTOTAL(109,tblRefreshments[Actual])</f>
        <v>0</v>
      </c>
    </row>
    <row r="13" spans="2:8" x14ac:dyDescent="0.2">
      <c r="B13" s="24"/>
      <c r="C13" s="24"/>
      <c r="D13" s="24"/>
      <c r="F13" s="24"/>
      <c r="G13" s="24"/>
      <c r="H13" s="24"/>
    </row>
    <row r="15" spans="2:8" x14ac:dyDescent="0.2">
      <c r="B15" s="27" t="s">
        <v>111</v>
      </c>
      <c r="C15" s="27" t="s">
        <v>86</v>
      </c>
      <c r="D15" s="27" t="s">
        <v>6</v>
      </c>
      <c r="F15" s="27" t="s">
        <v>110</v>
      </c>
      <c r="G15" s="27" t="s">
        <v>86</v>
      </c>
      <c r="H15" s="27" t="s">
        <v>6</v>
      </c>
    </row>
    <row r="16" spans="2:8" x14ac:dyDescent="0.2">
      <c r="B16" s="26" t="s">
        <v>109</v>
      </c>
      <c r="C16" s="25">
        <v>200</v>
      </c>
      <c r="D16" s="25">
        <v>300</v>
      </c>
      <c r="F16" s="26" t="s">
        <v>108</v>
      </c>
      <c r="G16" s="25"/>
      <c r="H16" s="25"/>
    </row>
    <row r="17" spans="2:8" x14ac:dyDescent="0.2">
      <c r="B17" s="26" t="s">
        <v>107</v>
      </c>
      <c r="C17" s="25"/>
      <c r="D17" s="25"/>
      <c r="F17" s="26" t="s">
        <v>106</v>
      </c>
      <c r="G17" s="25"/>
      <c r="H17" s="25"/>
    </row>
    <row r="18" spans="2:8" x14ac:dyDescent="0.2">
      <c r="B18" s="26" t="s">
        <v>105</v>
      </c>
      <c r="C18" s="25"/>
      <c r="D18" s="25"/>
      <c r="F18" s="26" t="s">
        <v>104</v>
      </c>
      <c r="G18" s="25"/>
      <c r="H18" s="25"/>
    </row>
    <row r="19" spans="2:8" x14ac:dyDescent="0.2">
      <c r="B19" s="26" t="s">
        <v>103</v>
      </c>
      <c r="C19" s="25"/>
      <c r="D19" s="25"/>
      <c r="F19" s="26" t="s">
        <v>102</v>
      </c>
      <c r="G19" s="25"/>
      <c r="H19" s="25"/>
    </row>
    <row r="20" spans="2:8" x14ac:dyDescent="0.2">
      <c r="B20" s="26" t="s">
        <v>101</v>
      </c>
      <c r="C20" s="25"/>
      <c r="D20" s="25"/>
      <c r="F20" s="26" t="s">
        <v>1</v>
      </c>
      <c r="G20" s="25"/>
      <c r="H20" s="25"/>
    </row>
    <row r="21" spans="2:8" x14ac:dyDescent="0.2">
      <c r="B21" s="26" t="s">
        <v>89</v>
      </c>
      <c r="C21" s="25">
        <f>SUBTOTAL(109,tblDecorations[Estimated])</f>
        <v>200</v>
      </c>
      <c r="D21" s="25">
        <f>SUBTOTAL(109,tblDecorations[Actual])</f>
        <v>300</v>
      </c>
      <c r="F21" s="26" t="s">
        <v>89</v>
      </c>
      <c r="G21" s="25">
        <f>SUBTOTAL(109,tblPrograms[Estimated])</f>
        <v>0</v>
      </c>
      <c r="H21" s="25">
        <f>SUBTOTAL(109,tblPrograms[Actual])</f>
        <v>0</v>
      </c>
    </row>
    <row r="22" spans="2:8" x14ac:dyDescent="0.2">
      <c r="B22" s="24"/>
      <c r="C22" s="24"/>
      <c r="D22" s="24"/>
      <c r="F22" s="24"/>
      <c r="G22" s="24"/>
      <c r="H22" s="24"/>
    </row>
    <row r="24" spans="2:8" x14ac:dyDescent="0.2">
      <c r="B24" s="27" t="s">
        <v>100</v>
      </c>
      <c r="C24" s="27" t="s">
        <v>86</v>
      </c>
      <c r="D24" s="27" t="s">
        <v>6</v>
      </c>
      <c r="F24" s="27" t="s">
        <v>99</v>
      </c>
      <c r="G24" s="27" t="s">
        <v>86</v>
      </c>
      <c r="H24" s="27" t="s">
        <v>6</v>
      </c>
    </row>
    <row r="25" spans="2:8" x14ac:dyDescent="0.2">
      <c r="B25" s="26" t="s">
        <v>98</v>
      </c>
      <c r="C25" s="25"/>
      <c r="D25" s="25"/>
      <c r="F25" s="26" t="s">
        <v>97</v>
      </c>
      <c r="G25" s="25"/>
      <c r="H25" s="25"/>
    </row>
    <row r="26" spans="2:8" x14ac:dyDescent="0.2">
      <c r="B26" s="26" t="s">
        <v>96</v>
      </c>
      <c r="C26" s="25"/>
      <c r="D26" s="25"/>
      <c r="F26" s="26" t="s">
        <v>95</v>
      </c>
      <c r="G26" s="25"/>
      <c r="H26" s="25"/>
    </row>
    <row r="27" spans="2:8" x14ac:dyDescent="0.2">
      <c r="B27" s="26" t="s">
        <v>94</v>
      </c>
      <c r="C27" s="25"/>
      <c r="D27" s="25"/>
      <c r="F27" s="26" t="s">
        <v>89</v>
      </c>
      <c r="G27" s="25">
        <f>SUBTOTAL(109,tblPrizes[Estimated])</f>
        <v>0</v>
      </c>
      <c r="H27" s="25">
        <f>SUBTOTAL(109,tblPrizes[Actual])</f>
        <v>0</v>
      </c>
    </row>
    <row r="28" spans="2:8" x14ac:dyDescent="0.2">
      <c r="B28" s="26" t="s">
        <v>89</v>
      </c>
      <c r="C28" s="25">
        <f>SUBTOTAL(109,tblPublicity[Estimated])</f>
        <v>0</v>
      </c>
      <c r="D28" s="25">
        <f>SUBTOTAL(109,tblPublicity[Actual])</f>
        <v>0</v>
      </c>
      <c r="F28" s="24"/>
      <c r="G28" s="24"/>
      <c r="H28" s="24"/>
    </row>
    <row r="29" spans="2:8" x14ac:dyDescent="0.2">
      <c r="B29" s="24"/>
      <c r="C29" s="24"/>
      <c r="D29" s="24"/>
    </row>
    <row r="31" spans="2:8" x14ac:dyDescent="0.2">
      <c r="B31" s="27" t="s">
        <v>93</v>
      </c>
      <c r="C31" s="27" t="s">
        <v>86</v>
      </c>
      <c r="D31" s="27" t="s">
        <v>6</v>
      </c>
    </row>
    <row r="32" spans="2:8" x14ac:dyDescent="0.2">
      <c r="B32" s="26" t="s">
        <v>92</v>
      </c>
      <c r="C32" s="25"/>
      <c r="D32" s="25"/>
    </row>
    <row r="33" spans="2:4" x14ac:dyDescent="0.2">
      <c r="B33" s="26" t="s">
        <v>61</v>
      </c>
      <c r="C33" s="25"/>
      <c r="D33" s="25"/>
    </row>
    <row r="34" spans="2:4" x14ac:dyDescent="0.2">
      <c r="B34" s="26" t="s">
        <v>91</v>
      </c>
      <c r="C34" s="25"/>
      <c r="D34" s="25"/>
    </row>
    <row r="35" spans="2:4" x14ac:dyDescent="0.2">
      <c r="B35" s="26" t="s">
        <v>90</v>
      </c>
      <c r="C35" s="25"/>
      <c r="D35" s="25"/>
    </row>
    <row r="36" spans="2:4" x14ac:dyDescent="0.2">
      <c r="B36" s="26" t="s">
        <v>89</v>
      </c>
      <c r="C36" s="25">
        <f>SUBTOTAL(109,tblMisc[Estimated])</f>
        <v>0</v>
      </c>
      <c r="D36" s="25">
        <f>SUBTOTAL(109,tblMisc[Actual])</f>
        <v>0</v>
      </c>
    </row>
    <row r="37" spans="2:4" x14ac:dyDescent="0.2">
      <c r="B37" s="24"/>
      <c r="C37" s="24"/>
      <c r="D37" s="24"/>
    </row>
  </sheetData>
  <mergeCells count="7">
    <mergeCell ref="F13:H13"/>
    <mergeCell ref="B13:D13"/>
    <mergeCell ref="B22:D22"/>
    <mergeCell ref="F22:H22"/>
    <mergeCell ref="B37:D37"/>
    <mergeCell ref="B29:D29"/>
    <mergeCell ref="F28:H28"/>
  </mergeCells>
  <pageMargins left="0.4" right="0.4" top="0.4" bottom="0.4" header="0.3" footer="0.3"/>
  <pageSetup fitToHeight="0" orientation="landscape" horizontalDpi="4294967293" verticalDpi="0" r:id="rId1"/>
  <headerFooter differentFirst="1">
    <oddFooter>Page &amp;P of &amp;N</oddFooter>
  </headerFooter>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B1:T58"/>
  <sheetViews>
    <sheetView showGridLines="0" zoomScale="90" zoomScaleNormal="90" workbookViewId="0">
      <pane xSplit="2" ySplit="3" topLeftCell="C4" activePane="bottomRight" state="frozen"/>
      <selection pane="topRight" activeCell="C1" sqref="C1"/>
      <selection pane="bottomLeft" activeCell="A5" sqref="A5"/>
      <selection pane="bottomRight" activeCell="C7" sqref="C7"/>
    </sheetView>
  </sheetViews>
  <sheetFormatPr defaultRowHeight="19.5" customHeight="1" x14ac:dyDescent="0.25"/>
  <cols>
    <col min="1" max="1" width="2.28515625" style="295" customWidth="1"/>
    <col min="2" max="2" width="61.42578125" style="295" customWidth="1"/>
    <col min="3" max="3" width="9.140625" style="296" customWidth="1"/>
    <col min="4" max="15" width="12.5703125" style="296" customWidth="1"/>
    <col min="16" max="16" width="0.7109375" style="296" customWidth="1"/>
    <col min="17" max="17" width="13.42578125" style="296" customWidth="1"/>
    <col min="18" max="18" width="2.5703125" style="295" customWidth="1"/>
    <col min="19" max="19" width="12" style="295" customWidth="1"/>
    <col min="20" max="20" width="2.5703125" style="295" customWidth="1"/>
    <col min="21" max="16384" width="9.140625" style="295"/>
  </cols>
  <sheetData>
    <row r="1" spans="2:20" ht="63" customHeight="1" x14ac:dyDescent="0.25">
      <c r="B1" s="395" t="s">
        <v>378</v>
      </c>
      <c r="D1" s="308"/>
      <c r="E1" s="308"/>
      <c r="F1" s="308"/>
      <c r="G1" s="308"/>
      <c r="H1" s="308"/>
      <c r="I1" s="308"/>
      <c r="J1" s="308"/>
      <c r="K1" s="308"/>
      <c r="L1" s="308"/>
      <c r="M1" s="308"/>
      <c r="N1" s="308"/>
      <c r="O1" s="308"/>
      <c r="P1" s="308"/>
      <c r="Q1" s="308"/>
      <c r="R1" s="394"/>
      <c r="T1" s="394"/>
    </row>
    <row r="2" spans="2:20" s="315" customFormat="1" ht="19.5" customHeight="1" thickBot="1" x14ac:dyDescent="0.25">
      <c r="B2" s="393"/>
      <c r="C2" s="392" t="s">
        <v>377</v>
      </c>
      <c r="D2" s="391" t="s">
        <v>376</v>
      </c>
      <c r="E2" s="391" t="s">
        <v>375</v>
      </c>
      <c r="F2" s="391" t="s">
        <v>374</v>
      </c>
      <c r="G2" s="391" t="s">
        <v>373</v>
      </c>
      <c r="H2" s="391" t="s">
        <v>372</v>
      </c>
      <c r="I2" s="391" t="s">
        <v>371</v>
      </c>
      <c r="J2" s="391" t="s">
        <v>370</v>
      </c>
      <c r="K2" s="391" t="s">
        <v>369</v>
      </c>
      <c r="L2" s="391" t="s">
        <v>368</v>
      </c>
      <c r="M2" s="391" t="s">
        <v>367</v>
      </c>
      <c r="N2" s="391" t="s">
        <v>366</v>
      </c>
      <c r="O2" s="391" t="s">
        <v>365</v>
      </c>
      <c r="P2" s="390"/>
      <c r="Q2" s="389" t="s">
        <v>89</v>
      </c>
      <c r="R2" s="387"/>
      <c r="S2" s="388"/>
      <c r="T2" s="387"/>
    </row>
    <row r="3" spans="2:20" s="381" customFormat="1" ht="19.5" customHeight="1" thickTop="1" x14ac:dyDescent="0.25">
      <c r="B3" s="381" t="s">
        <v>364</v>
      </c>
      <c r="C3" s="386"/>
      <c r="D3" s="385">
        <v>750</v>
      </c>
      <c r="E3" s="385">
        <v>200</v>
      </c>
      <c r="F3" s="385">
        <v>500</v>
      </c>
      <c r="G3" s="385">
        <v>1500</v>
      </c>
      <c r="H3" s="385">
        <v>1200</v>
      </c>
      <c r="I3" s="385">
        <v>1500</v>
      </c>
      <c r="J3" s="385">
        <v>1500</v>
      </c>
      <c r="K3" s="385">
        <v>1800</v>
      </c>
      <c r="L3" s="385">
        <v>2000</v>
      </c>
      <c r="M3" s="385">
        <v>2000</v>
      </c>
      <c r="N3" s="385">
        <v>2000</v>
      </c>
      <c r="O3" s="385">
        <v>2000</v>
      </c>
      <c r="P3" s="385"/>
      <c r="Q3" s="384">
        <f>SUM(D3:O3)</f>
        <v>16950</v>
      </c>
      <c r="R3" s="382"/>
      <c r="S3" s="383"/>
      <c r="T3" s="382"/>
    </row>
    <row r="4" spans="2:20" s="336" customFormat="1" ht="19.5" customHeight="1" x14ac:dyDescent="0.35">
      <c r="B4" s="380" t="s">
        <v>363</v>
      </c>
      <c r="C4" s="342"/>
      <c r="D4" s="341">
        <f>D9+D28+D35+D41</f>
        <v>1.1000000000000001</v>
      </c>
      <c r="E4" s="341">
        <f>E9+E28+E35+E41</f>
        <v>1.1000000000000001</v>
      </c>
      <c r="F4" s="341">
        <f>F9+F28+F35+F41</f>
        <v>1.1000000000000001</v>
      </c>
      <c r="G4" s="341">
        <f>G9+G28+G35+G41</f>
        <v>1.1000000000000001</v>
      </c>
      <c r="H4" s="341">
        <f>H9+H28+H35+H41</f>
        <v>1.1000000000000001</v>
      </c>
      <c r="I4" s="341">
        <f>I9+I28+I35+I41</f>
        <v>1.1000000000000001</v>
      </c>
      <c r="J4" s="341">
        <f>J9+J28+J35+J41</f>
        <v>1.1000000000000001</v>
      </c>
      <c r="K4" s="341">
        <f>K9+K28+K35+K41</f>
        <v>1.1000000000000001</v>
      </c>
      <c r="L4" s="341">
        <f>L9+L28+L35+L41</f>
        <v>0.85000000000000009</v>
      </c>
      <c r="M4" s="341">
        <f>M9+M28+M35+M41</f>
        <v>0.85000000000000009</v>
      </c>
      <c r="N4" s="341">
        <f>N9+N28+N35+N41</f>
        <v>0.85000000000000009</v>
      </c>
      <c r="O4" s="341">
        <f>O9+O28+O35+O41</f>
        <v>0.85000000000000009</v>
      </c>
      <c r="P4" s="340"/>
      <c r="Q4" s="339"/>
      <c r="R4" s="337"/>
      <c r="S4" s="338"/>
      <c r="T4" s="337"/>
    </row>
    <row r="5" spans="2:20" s="315" customFormat="1" ht="19.5" customHeight="1" x14ac:dyDescent="0.2">
      <c r="B5" s="335" t="s">
        <v>355</v>
      </c>
      <c r="C5" s="333">
        <v>5</v>
      </c>
      <c r="D5" s="334">
        <f>+$C$5</f>
        <v>5</v>
      </c>
      <c r="E5" s="334">
        <f>+$C$5</f>
        <v>5</v>
      </c>
      <c r="F5" s="334">
        <f>+$C$5</f>
        <v>5</v>
      </c>
      <c r="G5" s="334">
        <f>+$C$5</f>
        <v>5</v>
      </c>
      <c r="H5" s="334">
        <f>+$C$5</f>
        <v>5</v>
      </c>
      <c r="I5" s="334">
        <f>+$C$5</f>
        <v>5</v>
      </c>
      <c r="J5" s="334">
        <f>+$C$5</f>
        <v>5</v>
      </c>
      <c r="K5" s="334">
        <f>+$C$5</f>
        <v>5</v>
      </c>
      <c r="L5" s="334">
        <f>+$C$5</f>
        <v>5</v>
      </c>
      <c r="M5" s="334">
        <f>+$C$5</f>
        <v>5</v>
      </c>
      <c r="N5" s="334">
        <f>+$C$5</f>
        <v>5</v>
      </c>
      <c r="O5" s="334">
        <f>+$C$5</f>
        <v>5</v>
      </c>
      <c r="P5" s="319"/>
      <c r="Q5" s="346"/>
      <c r="R5" s="344"/>
      <c r="S5" s="345"/>
      <c r="T5" s="344"/>
    </row>
    <row r="6" spans="2:20" s="315" customFormat="1" ht="19.5" customHeight="1" x14ac:dyDescent="0.2">
      <c r="B6" s="329" t="s">
        <v>349</v>
      </c>
      <c r="C6" s="328"/>
      <c r="D6" s="351">
        <f>$C$5*D5</f>
        <v>25</v>
      </c>
      <c r="E6" s="351">
        <f>$C$5*E5</f>
        <v>25</v>
      </c>
      <c r="F6" s="351">
        <f>$C$5*F5</f>
        <v>25</v>
      </c>
      <c r="G6" s="351">
        <f>$C$5*G5</f>
        <v>25</v>
      </c>
      <c r="H6" s="351">
        <f>$C$5*H5</f>
        <v>25</v>
      </c>
      <c r="I6" s="351">
        <f>$C$5*I5</f>
        <v>25</v>
      </c>
      <c r="J6" s="351">
        <f>$C$5*J5</f>
        <v>25</v>
      </c>
      <c r="K6" s="351">
        <f>$C$5*K5</f>
        <v>25</v>
      </c>
      <c r="L6" s="351">
        <f>$C$5*L5</f>
        <v>25</v>
      </c>
      <c r="M6" s="351">
        <f>$C$5*M5</f>
        <v>25</v>
      </c>
      <c r="N6" s="351">
        <f>$C$5*N5</f>
        <v>25</v>
      </c>
      <c r="O6" s="351">
        <f>$C$5*O5</f>
        <v>25</v>
      </c>
      <c r="P6" s="326"/>
      <c r="Q6" s="325">
        <f>SUM('Channel Marketing Budget'!$D6:$O6)</f>
        <v>300</v>
      </c>
      <c r="R6" s="323"/>
      <c r="S6" s="324"/>
      <c r="T6" s="323"/>
    </row>
    <row r="7" spans="2:20" s="315" customFormat="1" ht="19.5" customHeight="1" x14ac:dyDescent="0.2">
      <c r="B7" s="322" t="s">
        <v>358</v>
      </c>
      <c r="C7" s="349">
        <v>1E-3</v>
      </c>
      <c r="D7" s="379">
        <f>D3*$C$7</f>
        <v>0.75</v>
      </c>
      <c r="E7" s="379">
        <f>E3*$C$7</f>
        <v>0.2</v>
      </c>
      <c r="F7" s="379">
        <f>F3*$C$7</f>
        <v>0.5</v>
      </c>
      <c r="G7" s="379">
        <f>G3*$C$7</f>
        <v>1.5</v>
      </c>
      <c r="H7" s="379">
        <f>H3*$C$7</f>
        <v>1.2</v>
      </c>
      <c r="I7" s="379">
        <f>I3*$C$7</f>
        <v>1.5</v>
      </c>
      <c r="J7" s="379">
        <f>J3*$C$7</f>
        <v>1.5</v>
      </c>
      <c r="K7" s="379">
        <f>K3*$C$7</f>
        <v>1.8</v>
      </c>
      <c r="L7" s="379">
        <f>L3*$C$7</f>
        <v>2</v>
      </c>
      <c r="M7" s="379">
        <f>M3*$C$7</f>
        <v>2</v>
      </c>
      <c r="N7" s="379">
        <f>N3*$C$7</f>
        <v>2</v>
      </c>
      <c r="O7" s="379">
        <f>O3*$C$7</f>
        <v>2</v>
      </c>
      <c r="P7" s="326"/>
      <c r="Q7" s="318">
        <f>SUM('Channel Marketing Budget'!$D7:$O7)</f>
        <v>16.950000000000003</v>
      </c>
      <c r="R7" s="316"/>
      <c r="S7" s="378"/>
      <c r="T7" s="316"/>
    </row>
    <row r="8" spans="2:20" s="373" customFormat="1" ht="19.5" customHeight="1" thickBot="1" x14ac:dyDescent="0.3">
      <c r="B8" s="314" t="s">
        <v>362</v>
      </c>
      <c r="C8" s="313"/>
      <c r="D8" s="312">
        <f>SUM(D6:D7)</f>
        <v>25.75</v>
      </c>
      <c r="E8" s="312">
        <f>SUM(E6:E7)</f>
        <v>25.2</v>
      </c>
      <c r="F8" s="312">
        <f>SUM(F6:F7)</f>
        <v>25.5</v>
      </c>
      <c r="G8" s="312">
        <f>SUM(G6:G7)</f>
        <v>26.5</v>
      </c>
      <c r="H8" s="312">
        <f>SUM(H6:H7)</f>
        <v>26.2</v>
      </c>
      <c r="I8" s="312">
        <f>SUM(I6:I7)</f>
        <v>26.5</v>
      </c>
      <c r="J8" s="312">
        <f>SUM(J6:J7)</f>
        <v>26.5</v>
      </c>
      <c r="K8" s="312">
        <f>SUM(K6:K7)</f>
        <v>26.8</v>
      </c>
      <c r="L8" s="312">
        <f>SUM(L6:L7)</f>
        <v>27</v>
      </c>
      <c r="M8" s="312">
        <f>SUM(M6:M7)</f>
        <v>27</v>
      </c>
      <c r="N8" s="312">
        <f>SUM(N6:N7)</f>
        <v>27</v>
      </c>
      <c r="O8" s="312">
        <f>SUM(O6:O7)</f>
        <v>27</v>
      </c>
      <c r="P8" s="377"/>
      <c r="Q8" s="376">
        <f>SUM('Channel Marketing Budget'!$D8:$O8)</f>
        <v>316.95000000000005</v>
      </c>
      <c r="R8" s="374"/>
      <c r="S8" s="375"/>
      <c r="T8" s="374"/>
    </row>
    <row r="9" spans="2:20" s="336" customFormat="1" ht="19.5" customHeight="1" x14ac:dyDescent="0.35">
      <c r="B9" s="343" t="s">
        <v>361</v>
      </c>
      <c r="C9" s="342"/>
      <c r="D9" s="350">
        <v>1</v>
      </c>
      <c r="E9" s="350">
        <v>1</v>
      </c>
      <c r="F9" s="350">
        <v>0.75</v>
      </c>
      <c r="G9" s="350">
        <v>0.4</v>
      </c>
      <c r="H9" s="350">
        <v>0.33</v>
      </c>
      <c r="I9" s="350">
        <v>0.25</v>
      </c>
      <c r="J9" s="350">
        <v>0.2</v>
      </c>
      <c r="K9" s="350">
        <v>0.1</v>
      </c>
      <c r="L9" s="350">
        <v>0.05</v>
      </c>
      <c r="M9" s="350">
        <v>0.05</v>
      </c>
      <c r="N9" s="350">
        <v>0.05</v>
      </c>
      <c r="O9" s="350">
        <v>0.05</v>
      </c>
      <c r="P9" s="340"/>
      <c r="Q9" s="339"/>
      <c r="R9" s="337"/>
      <c r="S9" s="338"/>
      <c r="T9" s="337"/>
    </row>
    <row r="10" spans="2:20" s="315" customFormat="1" ht="19.5" customHeight="1" x14ac:dyDescent="0.2">
      <c r="B10" s="335" t="s">
        <v>360</v>
      </c>
      <c r="C10" s="334"/>
      <c r="D10" s="372">
        <v>1</v>
      </c>
      <c r="E10" s="372">
        <v>0.5</v>
      </c>
      <c r="F10" s="372">
        <v>0.5</v>
      </c>
      <c r="G10" s="372">
        <v>0.5</v>
      </c>
      <c r="H10" s="372">
        <v>0.5</v>
      </c>
      <c r="I10" s="372">
        <v>0.5</v>
      </c>
      <c r="J10" s="372">
        <v>0.5</v>
      </c>
      <c r="K10" s="372">
        <v>0.5</v>
      </c>
      <c r="L10" s="372">
        <v>0.5</v>
      </c>
      <c r="M10" s="372">
        <v>0.5</v>
      </c>
      <c r="N10" s="372">
        <v>0.5</v>
      </c>
      <c r="O10" s="372">
        <v>0.5</v>
      </c>
      <c r="P10" s="319"/>
      <c r="Q10" s="346"/>
      <c r="R10" s="344"/>
      <c r="S10" s="345"/>
      <c r="T10" s="344"/>
    </row>
    <row r="11" spans="2:20" s="315" customFormat="1" ht="19.5" customHeight="1" x14ac:dyDescent="0.2">
      <c r="B11" s="360" t="s">
        <v>355</v>
      </c>
      <c r="C11" s="362">
        <v>3</v>
      </c>
      <c r="D11" s="328">
        <f>$C$11*D10</f>
        <v>3</v>
      </c>
      <c r="E11" s="328">
        <f>$C$11*E10</f>
        <v>1.5</v>
      </c>
      <c r="F11" s="328">
        <f>$C$11*F10</f>
        <v>1.5</v>
      </c>
      <c r="G11" s="328">
        <f>$C$11*G10</f>
        <v>1.5</v>
      </c>
      <c r="H11" s="328">
        <f>$C$11*H10</f>
        <v>1.5</v>
      </c>
      <c r="I11" s="328">
        <f>$C$11*I10</f>
        <v>1.5</v>
      </c>
      <c r="J11" s="328">
        <f>$C$11*J10</f>
        <v>1.5</v>
      </c>
      <c r="K11" s="328">
        <f>$C$11*K10</f>
        <v>1.5</v>
      </c>
      <c r="L11" s="328">
        <f>$C$11*L10</f>
        <v>1.5</v>
      </c>
      <c r="M11" s="328">
        <f>$C$11*M10</f>
        <v>1.5</v>
      </c>
      <c r="N11" s="328">
        <f>$C$11*N10</f>
        <v>1.5</v>
      </c>
      <c r="O11" s="368">
        <f>$C$11*O10</f>
        <v>1.5</v>
      </c>
      <c r="P11" s="319"/>
      <c r="Q11" s="325">
        <f>SUM('Channel Marketing Budget'!$D11:$O11)</f>
        <v>19.5</v>
      </c>
      <c r="R11" s="323"/>
      <c r="S11" s="361"/>
      <c r="T11" s="323"/>
    </row>
    <row r="12" spans="2:20" s="315" customFormat="1" ht="19.5" customHeight="1" x14ac:dyDescent="0.2">
      <c r="B12" s="360" t="s">
        <v>359</v>
      </c>
      <c r="C12" s="328"/>
      <c r="D12" s="362">
        <v>25</v>
      </c>
      <c r="E12" s="362">
        <v>10</v>
      </c>
      <c r="F12" s="362">
        <v>25</v>
      </c>
      <c r="G12" s="362">
        <v>10</v>
      </c>
      <c r="H12" s="362">
        <v>25</v>
      </c>
      <c r="I12" s="362">
        <v>10</v>
      </c>
      <c r="J12" s="362">
        <v>25</v>
      </c>
      <c r="K12" s="362">
        <v>10</v>
      </c>
      <c r="L12" s="362">
        <v>25</v>
      </c>
      <c r="M12" s="362">
        <v>10</v>
      </c>
      <c r="N12" s="362">
        <v>25</v>
      </c>
      <c r="O12" s="362">
        <v>10</v>
      </c>
      <c r="P12" s="319"/>
      <c r="Q12" s="325">
        <f>SUM('Channel Marketing Budget'!$D12:$O12)</f>
        <v>210</v>
      </c>
      <c r="R12" s="323"/>
      <c r="S12" s="361"/>
      <c r="T12" s="323"/>
    </row>
    <row r="13" spans="2:20" s="315" customFormat="1" ht="19.5" customHeight="1" x14ac:dyDescent="0.2">
      <c r="B13" s="360" t="s">
        <v>358</v>
      </c>
      <c r="C13" s="352">
        <v>1E-3</v>
      </c>
      <c r="D13" s="351">
        <f>$C$13*D3*D9*D10</f>
        <v>0.75</v>
      </c>
      <c r="E13" s="351">
        <f>$C$13*E3*E9*E10</f>
        <v>0.1</v>
      </c>
      <c r="F13" s="351">
        <f>$C$13*F3*F9*F10</f>
        <v>0.1875</v>
      </c>
      <c r="G13" s="351">
        <f>$C$13*G3*G9*G10</f>
        <v>0.30000000000000004</v>
      </c>
      <c r="H13" s="351">
        <f>$C$13*H3*H9*H10</f>
        <v>0.19800000000000001</v>
      </c>
      <c r="I13" s="351">
        <f>$C$13*I3*I9*I10</f>
        <v>0.1875</v>
      </c>
      <c r="J13" s="351">
        <f>$C$13*J3*J9*J10</f>
        <v>0.15000000000000002</v>
      </c>
      <c r="K13" s="351">
        <f>$C$13*K3*K9*K10</f>
        <v>9.0000000000000011E-2</v>
      </c>
      <c r="L13" s="351">
        <f>$C$13*L3*L9*L10</f>
        <v>0.05</v>
      </c>
      <c r="M13" s="351">
        <f>$C$13*M3*M9*M10</f>
        <v>0.05</v>
      </c>
      <c r="N13" s="351">
        <f>$C$13*N3*N9*N10</f>
        <v>0.05</v>
      </c>
      <c r="O13" s="351">
        <f>$C$13*O3*O9*O10</f>
        <v>0.05</v>
      </c>
      <c r="P13" s="319"/>
      <c r="Q13" s="325">
        <f>SUM('Channel Marketing Budget'!$D13:$O13)</f>
        <v>2.1629999999999998</v>
      </c>
      <c r="R13" s="323"/>
      <c r="S13" s="361"/>
      <c r="T13" s="323"/>
    </row>
    <row r="14" spans="2:20" s="315" customFormat="1" ht="19.5" customHeight="1" x14ac:dyDescent="0.2">
      <c r="B14" s="367" t="s">
        <v>336</v>
      </c>
      <c r="C14" s="321"/>
      <c r="D14" s="362">
        <v>25</v>
      </c>
      <c r="E14" s="362">
        <v>10</v>
      </c>
      <c r="F14" s="362">
        <v>25</v>
      </c>
      <c r="G14" s="362">
        <v>10</v>
      </c>
      <c r="H14" s="362">
        <v>25</v>
      </c>
      <c r="I14" s="362">
        <v>10</v>
      </c>
      <c r="J14" s="362">
        <v>25</v>
      </c>
      <c r="K14" s="362">
        <v>10</v>
      </c>
      <c r="L14" s="362">
        <v>25</v>
      </c>
      <c r="M14" s="362">
        <v>10</v>
      </c>
      <c r="N14" s="362">
        <v>25</v>
      </c>
      <c r="O14" s="362">
        <v>10</v>
      </c>
      <c r="P14" s="319"/>
      <c r="Q14" s="318">
        <f>SUM('Channel Marketing Budget'!$D14:$O14)</f>
        <v>210</v>
      </c>
      <c r="R14" s="316"/>
      <c r="S14" s="317"/>
      <c r="T14" s="316"/>
    </row>
    <row r="15" spans="2:20" s="354" customFormat="1" ht="19.5" customHeight="1" thickBot="1" x14ac:dyDescent="0.3">
      <c r="B15" s="371" t="s">
        <v>357</v>
      </c>
      <c r="C15" s="370"/>
      <c r="D15" s="369">
        <f>SUM(D11:D14)</f>
        <v>53.75</v>
      </c>
      <c r="E15" s="369">
        <f>SUM(E11:E14)</f>
        <v>21.6</v>
      </c>
      <c r="F15" s="369">
        <f>SUM(F11:F14)</f>
        <v>51.6875</v>
      </c>
      <c r="G15" s="369">
        <f>SUM(G11:G14)</f>
        <v>21.8</v>
      </c>
      <c r="H15" s="369">
        <f>SUM(H11:H14)</f>
        <v>51.698</v>
      </c>
      <c r="I15" s="369">
        <f>SUM(I11:I14)</f>
        <v>21.6875</v>
      </c>
      <c r="J15" s="369">
        <f>SUM(J11:J14)</f>
        <v>51.65</v>
      </c>
      <c r="K15" s="369">
        <f>SUM(K11:K14)</f>
        <v>21.59</v>
      </c>
      <c r="L15" s="369">
        <f>SUM(L11:L14)</f>
        <v>51.55</v>
      </c>
      <c r="M15" s="369">
        <f>SUM(M11:M14)</f>
        <v>21.55</v>
      </c>
      <c r="N15" s="369">
        <f>SUM(N11:N14)</f>
        <v>51.55</v>
      </c>
      <c r="O15" s="369">
        <f>SUM(O11:O14)</f>
        <v>21.55</v>
      </c>
      <c r="P15" s="356"/>
      <c r="Q15" s="311">
        <f>SUM('Channel Marketing Budget'!$D15:$O15)</f>
        <v>441.66300000000001</v>
      </c>
      <c r="R15" s="310"/>
      <c r="S15" s="299"/>
      <c r="T15" s="310"/>
    </row>
    <row r="16" spans="2:20" s="315" customFormat="1" ht="19.5" customHeight="1" x14ac:dyDescent="0.2">
      <c r="B16" s="366" t="s">
        <v>356</v>
      </c>
      <c r="C16" s="365"/>
      <c r="D16" s="364">
        <v>0.25</v>
      </c>
      <c r="E16" s="364">
        <v>0.25</v>
      </c>
      <c r="F16" s="364">
        <v>0.25</v>
      </c>
      <c r="G16" s="364">
        <v>0.25</v>
      </c>
      <c r="H16" s="364">
        <v>0.25</v>
      </c>
      <c r="I16" s="364">
        <v>0.25</v>
      </c>
      <c r="J16" s="364">
        <v>0.25</v>
      </c>
      <c r="K16" s="364">
        <v>0.25</v>
      </c>
      <c r="L16" s="364">
        <v>0.25</v>
      </c>
      <c r="M16" s="364">
        <v>0.25</v>
      </c>
      <c r="N16" s="364">
        <v>0.25</v>
      </c>
      <c r="O16" s="364">
        <v>0.25</v>
      </c>
      <c r="P16" s="319"/>
      <c r="Q16" s="332"/>
      <c r="R16" s="330"/>
      <c r="S16" s="331"/>
      <c r="T16" s="330"/>
    </row>
    <row r="17" spans="2:20" s="315" customFormat="1" ht="19.5" customHeight="1" x14ac:dyDescent="0.2">
      <c r="B17" s="360" t="s">
        <v>355</v>
      </c>
      <c r="C17" s="362">
        <v>1</v>
      </c>
      <c r="D17" s="328">
        <f>$C$17*D16</f>
        <v>0.25</v>
      </c>
      <c r="E17" s="328">
        <f>$C$17*E16</f>
        <v>0.25</v>
      </c>
      <c r="F17" s="328">
        <f>$C$17*F16</f>
        <v>0.25</v>
      </c>
      <c r="G17" s="328">
        <f>$C$17*G16</f>
        <v>0.25</v>
      </c>
      <c r="H17" s="328">
        <f>$C$17*H16</f>
        <v>0.25</v>
      </c>
      <c r="I17" s="328">
        <f>$C$17*I16</f>
        <v>0.25</v>
      </c>
      <c r="J17" s="328">
        <f>$C$17*J16</f>
        <v>0.25</v>
      </c>
      <c r="K17" s="328">
        <f>$C$17*K16</f>
        <v>0.25</v>
      </c>
      <c r="L17" s="328">
        <f>$C$17*L16</f>
        <v>0.25</v>
      </c>
      <c r="M17" s="328">
        <f>$C$17*M16</f>
        <v>0.25</v>
      </c>
      <c r="N17" s="328">
        <f>$C$17*N16</f>
        <v>0.25</v>
      </c>
      <c r="O17" s="368">
        <f>$C$17*O16</f>
        <v>0.25</v>
      </c>
      <c r="P17" s="319"/>
      <c r="Q17" s="325">
        <f>SUM('Channel Marketing Budget'!$D17:$O17)</f>
        <v>3</v>
      </c>
      <c r="R17" s="323"/>
      <c r="S17" s="361"/>
      <c r="T17" s="323"/>
    </row>
    <row r="18" spans="2:20" s="315" customFormat="1" ht="19.5" customHeight="1" x14ac:dyDescent="0.2">
      <c r="B18" s="360" t="s">
        <v>354</v>
      </c>
      <c r="C18" s="328"/>
      <c r="D18" s="362">
        <v>500</v>
      </c>
      <c r="E18" s="362"/>
      <c r="F18" s="362"/>
      <c r="G18" s="362"/>
      <c r="H18" s="362"/>
      <c r="I18" s="362"/>
      <c r="J18" s="362"/>
      <c r="K18" s="362"/>
      <c r="L18" s="362"/>
      <c r="M18" s="362"/>
      <c r="N18" s="362"/>
      <c r="O18" s="362"/>
      <c r="P18" s="319"/>
      <c r="Q18" s="325">
        <f>SUM('Channel Marketing Budget'!$D18:$O18)</f>
        <v>500</v>
      </c>
      <c r="R18" s="323"/>
      <c r="S18" s="361"/>
      <c r="T18" s="323"/>
    </row>
    <row r="19" spans="2:20" s="315" customFormat="1" ht="19.5" customHeight="1" x14ac:dyDescent="0.2">
      <c r="B19" s="360" t="s">
        <v>353</v>
      </c>
      <c r="C19" s="328"/>
      <c r="D19" s="362">
        <v>10</v>
      </c>
      <c r="E19" s="362">
        <v>10</v>
      </c>
      <c r="F19" s="362">
        <v>10</v>
      </c>
      <c r="G19" s="362">
        <v>10</v>
      </c>
      <c r="H19" s="362">
        <v>10</v>
      </c>
      <c r="I19" s="362">
        <v>10</v>
      </c>
      <c r="J19" s="362">
        <v>10</v>
      </c>
      <c r="K19" s="362">
        <v>10</v>
      </c>
      <c r="L19" s="362">
        <v>10</v>
      </c>
      <c r="M19" s="362">
        <v>10</v>
      </c>
      <c r="N19" s="362">
        <v>10</v>
      </c>
      <c r="O19" s="362">
        <v>10</v>
      </c>
      <c r="P19" s="319"/>
      <c r="Q19" s="325">
        <f>SUM('Channel Marketing Budget'!$D19:$O19)</f>
        <v>120</v>
      </c>
      <c r="R19" s="323"/>
      <c r="S19" s="361"/>
      <c r="T19" s="323"/>
    </row>
    <row r="20" spans="2:20" s="315" customFormat="1" ht="19.5" customHeight="1" x14ac:dyDescent="0.2">
      <c r="B20" s="367" t="s">
        <v>352</v>
      </c>
      <c r="C20" s="321"/>
      <c r="D20" s="320">
        <v>25</v>
      </c>
      <c r="E20" s="320"/>
      <c r="F20" s="320"/>
      <c r="G20" s="320"/>
      <c r="H20" s="320"/>
      <c r="I20" s="320"/>
      <c r="J20" s="320"/>
      <c r="K20" s="320"/>
      <c r="L20" s="320"/>
      <c r="M20" s="320"/>
      <c r="N20" s="320">
        <v>25</v>
      </c>
      <c r="O20" s="320"/>
      <c r="P20" s="319"/>
      <c r="Q20" s="318">
        <f>SUM('Channel Marketing Budget'!$D20:$O20)</f>
        <v>50</v>
      </c>
      <c r="R20" s="316"/>
      <c r="S20" s="317"/>
      <c r="T20" s="316"/>
    </row>
    <row r="21" spans="2:20" s="354" customFormat="1" ht="19.5" customHeight="1" thickBot="1" x14ac:dyDescent="0.3">
      <c r="B21" s="359" t="s">
        <v>351</v>
      </c>
      <c r="C21" s="358"/>
      <c r="D21" s="357">
        <f>SUM(D17:D20)</f>
        <v>535.25</v>
      </c>
      <c r="E21" s="357">
        <f>SUM(E17:E20)</f>
        <v>10.25</v>
      </c>
      <c r="F21" s="357">
        <f>SUM(F17:F20)</f>
        <v>10.25</v>
      </c>
      <c r="G21" s="357">
        <f>SUM(G17:G20)</f>
        <v>10.25</v>
      </c>
      <c r="H21" s="357">
        <f>SUM(H17:H20)</f>
        <v>10.25</v>
      </c>
      <c r="I21" s="357">
        <f>SUM(I17:I20)</f>
        <v>10.25</v>
      </c>
      <c r="J21" s="357">
        <f>SUM(J17:J20)</f>
        <v>10.25</v>
      </c>
      <c r="K21" s="357">
        <f>SUM(K17:K20)</f>
        <v>10.25</v>
      </c>
      <c r="L21" s="357">
        <f>SUM(L17:L20)</f>
        <v>10.25</v>
      </c>
      <c r="M21" s="357">
        <f>SUM(M17:M20)</f>
        <v>10.25</v>
      </c>
      <c r="N21" s="357">
        <f>SUM(N17:N20)</f>
        <v>35.25</v>
      </c>
      <c r="O21" s="357">
        <f>SUM(O17:O20)</f>
        <v>10.25</v>
      </c>
      <c r="P21" s="356"/>
      <c r="Q21" s="311">
        <f>SUM('Channel Marketing Budget'!$D21:$O21)</f>
        <v>673</v>
      </c>
      <c r="R21" s="310"/>
      <c r="S21" s="299"/>
      <c r="T21" s="310"/>
    </row>
    <row r="22" spans="2:20" s="315" customFormat="1" ht="19.5" customHeight="1" x14ac:dyDescent="0.25">
      <c r="B22" s="366" t="s">
        <v>350</v>
      </c>
      <c r="C22" s="365"/>
      <c r="D22" s="364"/>
      <c r="E22" s="364"/>
      <c r="F22" s="364"/>
      <c r="G22" s="364"/>
      <c r="H22" s="364"/>
      <c r="I22" s="364"/>
      <c r="J22" s="364"/>
      <c r="K22" s="364"/>
      <c r="L22" s="364"/>
      <c r="M22" s="364"/>
      <c r="N22" s="364"/>
      <c r="O22" s="364"/>
      <c r="P22" s="319"/>
      <c r="Q22" s="332"/>
      <c r="R22" s="330"/>
      <c r="S22" s="331"/>
      <c r="T22" s="330"/>
    </row>
    <row r="23" spans="2:20" s="315" customFormat="1" ht="19.5" customHeight="1" x14ac:dyDescent="0.2">
      <c r="B23" s="360" t="s">
        <v>349</v>
      </c>
      <c r="C23" s="328"/>
      <c r="D23" s="362"/>
      <c r="E23" s="362"/>
      <c r="F23" s="362"/>
      <c r="G23" s="362"/>
      <c r="H23" s="362"/>
      <c r="I23" s="362"/>
      <c r="J23" s="362"/>
      <c r="K23" s="362"/>
      <c r="L23" s="362"/>
      <c r="M23" s="362"/>
      <c r="N23" s="362"/>
      <c r="O23" s="363"/>
      <c r="P23" s="319"/>
      <c r="Q23" s="325">
        <f>SUM('Channel Marketing Budget'!$D23:$O23)</f>
        <v>0</v>
      </c>
      <c r="R23" s="323"/>
      <c r="S23" s="361"/>
      <c r="T23" s="323"/>
    </row>
    <row r="24" spans="2:20" s="315" customFormat="1" ht="19.5" customHeight="1" x14ac:dyDescent="0.2">
      <c r="B24" s="360" t="s">
        <v>348</v>
      </c>
      <c r="C24" s="328"/>
      <c r="D24" s="362">
        <v>1000</v>
      </c>
      <c r="E24" s="362">
        <v>1000</v>
      </c>
      <c r="F24" s="362">
        <v>1000</v>
      </c>
      <c r="G24" s="362">
        <v>1000</v>
      </c>
      <c r="H24" s="362">
        <v>1000</v>
      </c>
      <c r="I24" s="362">
        <v>1000</v>
      </c>
      <c r="J24" s="362">
        <v>1000</v>
      </c>
      <c r="K24" s="362">
        <v>1000</v>
      </c>
      <c r="L24" s="362">
        <v>1000</v>
      </c>
      <c r="M24" s="362">
        <v>1000</v>
      </c>
      <c r="N24" s="362">
        <v>1000</v>
      </c>
      <c r="O24" s="362">
        <v>1000</v>
      </c>
      <c r="P24" s="319"/>
      <c r="Q24" s="325">
        <f>SUM('Channel Marketing Budget'!$D24:$O24)</f>
        <v>12000</v>
      </c>
      <c r="R24" s="323"/>
      <c r="S24" s="361"/>
      <c r="T24" s="323"/>
    </row>
    <row r="25" spans="2:20" s="315" customFormat="1" ht="19.5" customHeight="1" x14ac:dyDescent="0.2">
      <c r="B25" s="360" t="s">
        <v>94</v>
      </c>
      <c r="C25" s="321"/>
      <c r="D25" s="320">
        <v>250</v>
      </c>
      <c r="E25" s="320">
        <v>250</v>
      </c>
      <c r="F25" s="320">
        <v>250</v>
      </c>
      <c r="G25" s="320">
        <v>250</v>
      </c>
      <c r="H25" s="320">
        <v>250</v>
      </c>
      <c r="I25" s="320">
        <v>250</v>
      </c>
      <c r="J25" s="320">
        <v>250</v>
      </c>
      <c r="K25" s="320">
        <v>250</v>
      </c>
      <c r="L25" s="320">
        <v>250</v>
      </c>
      <c r="M25" s="320">
        <v>250</v>
      </c>
      <c r="N25" s="320">
        <v>250</v>
      </c>
      <c r="O25" s="320">
        <v>250</v>
      </c>
      <c r="P25" s="319"/>
      <c r="Q25" s="318">
        <f>SUM('Channel Marketing Budget'!$D25:$O25)</f>
        <v>3000</v>
      </c>
      <c r="R25" s="316"/>
      <c r="S25" s="317"/>
      <c r="T25" s="316"/>
    </row>
    <row r="26" spans="2:20" s="354" customFormat="1" ht="19.5" customHeight="1" thickBot="1" x14ac:dyDescent="0.3">
      <c r="B26" s="359" t="s">
        <v>347</v>
      </c>
      <c r="C26" s="358"/>
      <c r="D26" s="357">
        <f>SUM(D23:D25)</f>
        <v>1250</v>
      </c>
      <c r="E26" s="357">
        <f>SUM(E23:E25)</f>
        <v>1250</v>
      </c>
      <c r="F26" s="357">
        <f>SUM(F23:F25)</f>
        <v>1250</v>
      </c>
      <c r="G26" s="357">
        <f>SUM(G23:G25)</f>
        <v>1250</v>
      </c>
      <c r="H26" s="357">
        <f>SUM(H23:H25)</f>
        <v>1250</v>
      </c>
      <c r="I26" s="357">
        <f>SUM(I23:I25)</f>
        <v>1250</v>
      </c>
      <c r="J26" s="357">
        <f>SUM(J23:J25)</f>
        <v>1250</v>
      </c>
      <c r="K26" s="357">
        <f>SUM(K23:K25)</f>
        <v>1250</v>
      </c>
      <c r="L26" s="357">
        <f>SUM(L23:L25)</f>
        <v>1250</v>
      </c>
      <c r="M26" s="357">
        <f>SUM(M23:M25)</f>
        <v>1250</v>
      </c>
      <c r="N26" s="357">
        <f>SUM(N23:N25)</f>
        <v>1250</v>
      </c>
      <c r="O26" s="357">
        <f>SUM(O23:O25)</f>
        <v>1250</v>
      </c>
      <c r="P26" s="356"/>
      <c r="Q26" s="311">
        <f>SUM(Q23:Q25)</f>
        <v>15000</v>
      </c>
      <c r="R26" s="310"/>
      <c r="S26" s="355"/>
      <c r="T26" s="310"/>
    </row>
    <row r="27" spans="2:20" s="309" customFormat="1" ht="19.5" customHeight="1" thickBot="1" x14ac:dyDescent="0.3">
      <c r="B27" s="353" t="s">
        <v>346</v>
      </c>
      <c r="C27" s="313"/>
      <c r="D27" s="312">
        <f>SUM(D15,D21,D26)</f>
        <v>1839</v>
      </c>
      <c r="E27" s="312">
        <f>SUM(E15,E21,E26)</f>
        <v>1281.8499999999999</v>
      </c>
      <c r="F27" s="312">
        <f>SUM(F15,F21,F26)</f>
        <v>1311.9375</v>
      </c>
      <c r="G27" s="312">
        <f>SUM(G15,G21,G26)</f>
        <v>1282.05</v>
      </c>
      <c r="H27" s="312">
        <f>SUM(H15,H21,H26)</f>
        <v>1311.9480000000001</v>
      </c>
      <c r="I27" s="312">
        <f>SUM(I15,I21,I26)</f>
        <v>1281.9375</v>
      </c>
      <c r="J27" s="312">
        <f>SUM(J15,J21,J26)</f>
        <v>1311.9</v>
      </c>
      <c r="K27" s="312">
        <f>SUM(K15,K21,K26)</f>
        <v>1281.8399999999999</v>
      </c>
      <c r="L27" s="312">
        <f>SUM(L15,L21,L26)</f>
        <v>1311.8</v>
      </c>
      <c r="M27" s="312">
        <f>SUM(M15,M21,M26)</f>
        <v>1281.8</v>
      </c>
      <c r="N27" s="312">
        <f>SUM(N15,N21,N26)</f>
        <v>1336.8</v>
      </c>
      <c r="O27" s="312">
        <f>SUM(O15,O21,O26)</f>
        <v>1281.8</v>
      </c>
      <c r="P27" s="301"/>
      <c r="Q27" s="311">
        <f>SUM(Q15,Q21,Q26)</f>
        <v>16114.663</v>
      </c>
      <c r="R27" s="310"/>
      <c r="S27" s="299"/>
      <c r="T27" s="310"/>
    </row>
    <row r="28" spans="2:20" s="336" customFormat="1" ht="19.5" customHeight="1" x14ac:dyDescent="0.35">
      <c r="B28" s="343" t="s">
        <v>345</v>
      </c>
      <c r="C28" s="342"/>
      <c r="D28" s="350">
        <v>0.1</v>
      </c>
      <c r="E28" s="350">
        <v>0.1</v>
      </c>
      <c r="F28" s="350">
        <v>0.1</v>
      </c>
      <c r="G28" s="350">
        <v>0.1</v>
      </c>
      <c r="H28" s="350">
        <v>0.1</v>
      </c>
      <c r="I28" s="350">
        <v>0.1</v>
      </c>
      <c r="J28" s="350">
        <v>0.1</v>
      </c>
      <c r="K28" s="350">
        <v>0.1</v>
      </c>
      <c r="L28" s="350">
        <v>0.1</v>
      </c>
      <c r="M28" s="350">
        <v>0.1</v>
      </c>
      <c r="N28" s="350">
        <v>0.1</v>
      </c>
      <c r="O28" s="350">
        <v>0.1</v>
      </c>
      <c r="P28" s="340"/>
      <c r="Q28" s="339"/>
      <c r="R28" s="337"/>
      <c r="S28" s="338"/>
      <c r="T28" s="337"/>
    </row>
    <row r="29" spans="2:20" s="315" customFormat="1" ht="19.5" customHeight="1" x14ac:dyDescent="0.2">
      <c r="B29" s="335" t="s">
        <v>337</v>
      </c>
      <c r="C29" s="334"/>
      <c r="D29" s="333">
        <v>50</v>
      </c>
      <c r="E29" s="333">
        <v>50</v>
      </c>
      <c r="F29" s="333">
        <v>50</v>
      </c>
      <c r="G29" s="333">
        <v>50</v>
      </c>
      <c r="H29" s="333">
        <v>50</v>
      </c>
      <c r="I29" s="333">
        <v>50</v>
      </c>
      <c r="J29" s="333">
        <v>50</v>
      </c>
      <c r="K29" s="333">
        <v>50</v>
      </c>
      <c r="L29" s="333">
        <v>50</v>
      </c>
      <c r="M29" s="333">
        <v>50</v>
      </c>
      <c r="N29" s="333">
        <v>50</v>
      </c>
      <c r="O29" s="333">
        <v>50</v>
      </c>
      <c r="P29" s="319"/>
      <c r="Q29" s="346">
        <f>SUM('Channel Marketing Budget'!$D29:$O29)</f>
        <v>600</v>
      </c>
      <c r="R29" s="344"/>
      <c r="S29" s="345"/>
      <c r="T29" s="344"/>
    </row>
    <row r="30" spans="2:20" s="315" customFormat="1" ht="19.5" customHeight="1" x14ac:dyDescent="0.2">
      <c r="B30" s="329" t="s">
        <v>336</v>
      </c>
      <c r="C30" s="328"/>
      <c r="D30" s="327">
        <v>250</v>
      </c>
      <c r="E30" s="327">
        <v>250</v>
      </c>
      <c r="F30" s="327">
        <v>250</v>
      </c>
      <c r="G30" s="327">
        <v>250</v>
      </c>
      <c r="H30" s="327">
        <v>250</v>
      </c>
      <c r="I30" s="327">
        <v>250</v>
      </c>
      <c r="J30" s="327">
        <v>250</v>
      </c>
      <c r="K30" s="327">
        <v>250</v>
      </c>
      <c r="L30" s="327">
        <v>250</v>
      </c>
      <c r="M30" s="327">
        <v>250</v>
      </c>
      <c r="N30" s="327">
        <v>250</v>
      </c>
      <c r="O30" s="327">
        <v>250</v>
      </c>
      <c r="P30" s="326"/>
      <c r="Q30" s="325">
        <f>SUM('Channel Marketing Budget'!$D30:$O30)</f>
        <v>3000</v>
      </c>
      <c r="R30" s="323"/>
      <c r="S30" s="324"/>
      <c r="T30" s="323"/>
    </row>
    <row r="31" spans="2:20" s="315" customFormat="1" ht="19.5" customHeight="1" x14ac:dyDescent="0.2">
      <c r="B31" s="329" t="s">
        <v>335</v>
      </c>
      <c r="C31" s="328"/>
      <c r="D31" s="327">
        <v>600</v>
      </c>
      <c r="E31" s="327">
        <v>600</v>
      </c>
      <c r="F31" s="327">
        <v>600</v>
      </c>
      <c r="G31" s="327">
        <v>600</v>
      </c>
      <c r="H31" s="327">
        <v>600</v>
      </c>
      <c r="I31" s="327">
        <v>600</v>
      </c>
      <c r="J31" s="327">
        <v>600</v>
      </c>
      <c r="K31" s="327">
        <v>600</v>
      </c>
      <c r="L31" s="327">
        <v>600</v>
      </c>
      <c r="M31" s="327">
        <v>600</v>
      </c>
      <c r="N31" s="327">
        <v>600</v>
      </c>
      <c r="O31" s="327">
        <v>600</v>
      </c>
      <c r="P31" s="326"/>
      <c r="Q31" s="325">
        <f>SUM('Channel Marketing Budget'!$D31:$O31)</f>
        <v>7200</v>
      </c>
      <c r="R31" s="323"/>
      <c r="S31" s="324"/>
      <c r="T31" s="323"/>
    </row>
    <row r="32" spans="2:20" s="315" customFormat="1" ht="19.5" customHeight="1" x14ac:dyDescent="0.2">
      <c r="B32" s="329" t="s">
        <v>344</v>
      </c>
      <c r="C32" s="352">
        <v>0.1</v>
      </c>
      <c r="D32" s="351">
        <f>D3*D28*$C$32</f>
        <v>7.5</v>
      </c>
      <c r="E32" s="351">
        <f>E3*E28*$C$32</f>
        <v>2</v>
      </c>
      <c r="F32" s="351">
        <f>F3*F28*$C$32</f>
        <v>5</v>
      </c>
      <c r="G32" s="351">
        <f>G3*G28*$C$32</f>
        <v>15</v>
      </c>
      <c r="H32" s="351">
        <f>H3*H28*$C$32</f>
        <v>12</v>
      </c>
      <c r="I32" s="351">
        <f>I3*I28*$C$32</f>
        <v>15</v>
      </c>
      <c r="J32" s="351">
        <f>J3*J28*$C$32</f>
        <v>15</v>
      </c>
      <c r="K32" s="351">
        <f>K3*K28*$C$32</f>
        <v>18</v>
      </c>
      <c r="L32" s="351">
        <f>L3*L28*$C$32</f>
        <v>20</v>
      </c>
      <c r="M32" s="351">
        <f>M3*M28*$C$32</f>
        <v>20</v>
      </c>
      <c r="N32" s="351">
        <f>N3*N28*$C$32</f>
        <v>20</v>
      </c>
      <c r="O32" s="351">
        <f>O3*O28*$C$32</f>
        <v>20</v>
      </c>
      <c r="P32" s="326"/>
      <c r="Q32" s="325">
        <f>SUM('Channel Marketing Budget'!$D32:$O32)</f>
        <v>169.5</v>
      </c>
      <c r="R32" s="323"/>
      <c r="S32" s="324"/>
      <c r="T32" s="323"/>
    </row>
    <row r="33" spans="2:20" s="315" customFormat="1" ht="19.5" customHeight="1" x14ac:dyDescent="0.2">
      <c r="B33" s="322" t="s">
        <v>343</v>
      </c>
      <c r="C33" s="349">
        <v>0.1</v>
      </c>
      <c r="D33" s="351">
        <f>D3*D28*$C$33</f>
        <v>7.5</v>
      </c>
      <c r="E33" s="351">
        <f>E3*E28*$C$33</f>
        <v>2</v>
      </c>
      <c r="F33" s="351">
        <f>F3*F28*$C$33</f>
        <v>5</v>
      </c>
      <c r="G33" s="351">
        <f>G3*G28*$C$33</f>
        <v>15</v>
      </c>
      <c r="H33" s="351">
        <f>H3*H28*$C$33</f>
        <v>12</v>
      </c>
      <c r="I33" s="351">
        <f>I3*I28*$C$33</f>
        <v>15</v>
      </c>
      <c r="J33" s="351">
        <f>J3*J28*$C$33</f>
        <v>15</v>
      </c>
      <c r="K33" s="351">
        <f>K3*K28*$C$33</f>
        <v>18</v>
      </c>
      <c r="L33" s="351">
        <f>L3*L28*$C$33</f>
        <v>20</v>
      </c>
      <c r="M33" s="351">
        <f>M3*M28*$C$33</f>
        <v>20</v>
      </c>
      <c r="N33" s="351">
        <f>N3*N28*$C$33</f>
        <v>20</v>
      </c>
      <c r="O33" s="351">
        <f>O3*O28*$C$33</f>
        <v>20</v>
      </c>
      <c r="P33" s="319"/>
      <c r="Q33" s="318">
        <f>SUM('Channel Marketing Budget'!$D33:$O33)</f>
        <v>169.5</v>
      </c>
      <c r="R33" s="316"/>
      <c r="S33" s="317"/>
      <c r="T33" s="316"/>
    </row>
    <row r="34" spans="2:20" s="309" customFormat="1" ht="19.5" customHeight="1" thickBot="1" x14ac:dyDescent="0.3">
      <c r="B34" s="314" t="s">
        <v>342</v>
      </c>
      <c r="C34" s="313"/>
      <c r="D34" s="312">
        <f>SUM(D29:D33)</f>
        <v>915</v>
      </c>
      <c r="E34" s="312">
        <f>SUM(E29:E33)</f>
        <v>904</v>
      </c>
      <c r="F34" s="312">
        <f>SUM(F29:F33)</f>
        <v>910</v>
      </c>
      <c r="G34" s="312">
        <f>SUM(G29:G33)</f>
        <v>930</v>
      </c>
      <c r="H34" s="312">
        <f>SUM(H29:H33)</f>
        <v>924</v>
      </c>
      <c r="I34" s="312">
        <f>SUM(I29:I33)</f>
        <v>930</v>
      </c>
      <c r="J34" s="312">
        <f>SUM(J29:J33)</f>
        <v>930</v>
      </c>
      <c r="K34" s="312">
        <f>SUM(K29:K33)</f>
        <v>936</v>
      </c>
      <c r="L34" s="312">
        <f>SUM(L29:L33)</f>
        <v>940</v>
      </c>
      <c r="M34" s="312">
        <f>SUM(M29:M33)</f>
        <v>940</v>
      </c>
      <c r="N34" s="312">
        <f>SUM(N29:N33)</f>
        <v>940</v>
      </c>
      <c r="O34" s="312">
        <f>SUM(O29:O33)</f>
        <v>940</v>
      </c>
      <c r="P34" s="301"/>
      <c r="Q34" s="311">
        <f>SUM(Q29:Q33)</f>
        <v>11139</v>
      </c>
      <c r="R34" s="310"/>
      <c r="S34" s="299"/>
      <c r="T34" s="310"/>
    </row>
    <row r="35" spans="2:20" s="336" customFormat="1" ht="19.5" customHeight="1" x14ac:dyDescent="0.35">
      <c r="B35" s="343" t="s">
        <v>341</v>
      </c>
      <c r="C35" s="342"/>
      <c r="D35" s="350">
        <v>0</v>
      </c>
      <c r="E35" s="350">
        <v>0</v>
      </c>
      <c r="F35" s="350">
        <v>0</v>
      </c>
      <c r="G35" s="350">
        <v>0</v>
      </c>
      <c r="H35" s="350">
        <v>0</v>
      </c>
      <c r="I35" s="350">
        <v>0.15</v>
      </c>
      <c r="J35" s="350">
        <v>0.2</v>
      </c>
      <c r="K35" s="350">
        <v>0.4</v>
      </c>
      <c r="L35" s="350">
        <v>0.4</v>
      </c>
      <c r="M35" s="350">
        <v>0.4</v>
      </c>
      <c r="N35" s="350">
        <v>0.4</v>
      </c>
      <c r="O35" s="350">
        <v>0.4</v>
      </c>
      <c r="P35" s="340"/>
      <c r="Q35" s="339"/>
      <c r="R35" s="337"/>
      <c r="S35" s="338"/>
      <c r="T35" s="337"/>
    </row>
    <row r="36" spans="2:20" s="315" customFormat="1" ht="19.5" customHeight="1" x14ac:dyDescent="0.2">
      <c r="B36" s="335" t="s">
        <v>337</v>
      </c>
      <c r="C36" s="334"/>
      <c r="D36" s="333">
        <v>50</v>
      </c>
      <c r="E36" s="333">
        <v>50</v>
      </c>
      <c r="F36" s="333">
        <v>50</v>
      </c>
      <c r="G36" s="333">
        <v>50</v>
      </c>
      <c r="H36" s="333">
        <v>50</v>
      </c>
      <c r="I36" s="333">
        <v>50</v>
      </c>
      <c r="J36" s="333">
        <v>50</v>
      </c>
      <c r="K36" s="333">
        <v>50</v>
      </c>
      <c r="L36" s="333">
        <v>50</v>
      </c>
      <c r="M36" s="333">
        <v>50</v>
      </c>
      <c r="N36" s="333">
        <v>50</v>
      </c>
      <c r="O36" s="333">
        <v>50</v>
      </c>
      <c r="P36" s="319"/>
      <c r="Q36" s="346">
        <f>SUM('Channel Marketing Budget'!$D36:$O36)</f>
        <v>600</v>
      </c>
      <c r="R36" s="344"/>
      <c r="S36" s="345"/>
      <c r="T36" s="344"/>
    </row>
    <row r="37" spans="2:20" s="315" customFormat="1" ht="19.5" customHeight="1" x14ac:dyDescent="0.2">
      <c r="B37" s="329" t="s">
        <v>336</v>
      </c>
      <c r="C37" s="328"/>
      <c r="D37" s="327">
        <v>250</v>
      </c>
      <c r="E37" s="327">
        <v>250</v>
      </c>
      <c r="F37" s="327">
        <v>250</v>
      </c>
      <c r="G37" s="327">
        <v>250</v>
      </c>
      <c r="H37" s="327">
        <v>250</v>
      </c>
      <c r="I37" s="327">
        <v>250</v>
      </c>
      <c r="J37" s="327">
        <v>250</v>
      </c>
      <c r="K37" s="327">
        <v>250</v>
      </c>
      <c r="L37" s="327">
        <v>250</v>
      </c>
      <c r="M37" s="327">
        <v>250</v>
      </c>
      <c r="N37" s="327">
        <v>250</v>
      </c>
      <c r="O37" s="327">
        <v>250</v>
      </c>
      <c r="P37" s="326"/>
      <c r="Q37" s="325">
        <f>SUM('Channel Marketing Budget'!$D37:$O37)</f>
        <v>3000</v>
      </c>
      <c r="R37" s="323"/>
      <c r="S37" s="324"/>
      <c r="T37" s="323"/>
    </row>
    <row r="38" spans="2:20" s="315" customFormat="1" ht="19.5" customHeight="1" x14ac:dyDescent="0.2">
      <c r="B38" s="329" t="s">
        <v>335</v>
      </c>
      <c r="C38" s="328"/>
      <c r="D38" s="327">
        <v>600</v>
      </c>
      <c r="E38" s="327">
        <v>600</v>
      </c>
      <c r="F38" s="327">
        <v>600</v>
      </c>
      <c r="G38" s="327">
        <v>600</v>
      </c>
      <c r="H38" s="327">
        <v>600</v>
      </c>
      <c r="I38" s="327">
        <v>600</v>
      </c>
      <c r="J38" s="327">
        <v>600</v>
      </c>
      <c r="K38" s="327">
        <v>600</v>
      </c>
      <c r="L38" s="327">
        <v>600</v>
      </c>
      <c r="M38" s="327">
        <v>600</v>
      </c>
      <c r="N38" s="327">
        <v>600</v>
      </c>
      <c r="O38" s="327">
        <v>600</v>
      </c>
      <c r="P38" s="326"/>
      <c r="Q38" s="325">
        <f>SUM('Channel Marketing Budget'!$D38:$O38)</f>
        <v>7200</v>
      </c>
      <c r="R38" s="323"/>
      <c r="S38" s="324"/>
      <c r="T38" s="323"/>
    </row>
    <row r="39" spans="2:20" s="315" customFormat="1" ht="19.5" customHeight="1" x14ac:dyDescent="0.2">
      <c r="B39" s="322" t="s">
        <v>340</v>
      </c>
      <c r="C39" s="349">
        <v>0.15</v>
      </c>
      <c r="D39" s="321">
        <f>D3*D35*$C$39</f>
        <v>0</v>
      </c>
      <c r="E39" s="321">
        <f>E3*E35*$C$39</f>
        <v>0</v>
      </c>
      <c r="F39" s="321">
        <f>F3*F35*$C$39</f>
        <v>0</v>
      </c>
      <c r="G39" s="321">
        <f>G3*G35*$C$39</f>
        <v>0</v>
      </c>
      <c r="H39" s="321">
        <f>H3*H35*$C$39</f>
        <v>0</v>
      </c>
      <c r="I39" s="321">
        <f>I3*I35*$C$39</f>
        <v>33.75</v>
      </c>
      <c r="J39" s="321">
        <f>J3*J35*$C$39</f>
        <v>45</v>
      </c>
      <c r="K39" s="321">
        <f>K3*K35*$C$39</f>
        <v>108</v>
      </c>
      <c r="L39" s="321">
        <f>L3*L35*$C$39</f>
        <v>120</v>
      </c>
      <c r="M39" s="321">
        <f>M3*M35*$C$39</f>
        <v>120</v>
      </c>
      <c r="N39" s="321">
        <f>N3*N35*$C$39</f>
        <v>120</v>
      </c>
      <c r="O39" s="321">
        <f>O3*O35*$C$39</f>
        <v>120</v>
      </c>
      <c r="P39" s="319"/>
      <c r="Q39" s="318">
        <f>SUM('Channel Marketing Budget'!$D39:$O39)</f>
        <v>666.75</v>
      </c>
      <c r="R39" s="316"/>
      <c r="S39" s="317"/>
      <c r="T39" s="316"/>
    </row>
    <row r="40" spans="2:20" s="309" customFormat="1" ht="19.5" customHeight="1" thickBot="1" x14ac:dyDescent="0.3">
      <c r="B40" s="314" t="s">
        <v>339</v>
      </c>
      <c r="C40" s="313"/>
      <c r="D40" s="312">
        <f>SUM(D36:D39)</f>
        <v>900</v>
      </c>
      <c r="E40" s="312">
        <f>SUM(E36:E39)</f>
        <v>900</v>
      </c>
      <c r="F40" s="312">
        <f>SUM(F36:F39)</f>
        <v>900</v>
      </c>
      <c r="G40" s="312">
        <f>SUM(G36:G39)</f>
        <v>900</v>
      </c>
      <c r="H40" s="312">
        <f>SUM(H36:H39)</f>
        <v>900</v>
      </c>
      <c r="I40" s="312">
        <f>SUM(I36:I39)</f>
        <v>933.75</v>
      </c>
      <c r="J40" s="312">
        <f>SUM(J36:J39)</f>
        <v>945</v>
      </c>
      <c r="K40" s="312">
        <f>SUM(K36:K39)</f>
        <v>1008</v>
      </c>
      <c r="L40" s="312">
        <f>SUM(L36:L39)</f>
        <v>1020</v>
      </c>
      <c r="M40" s="312">
        <f>SUM(M36:M39)</f>
        <v>1020</v>
      </c>
      <c r="N40" s="312">
        <f>SUM(N36:N39)</f>
        <v>1020</v>
      </c>
      <c r="O40" s="312">
        <f>SUM(O36:O39)</f>
        <v>1020</v>
      </c>
      <c r="P40" s="301"/>
      <c r="Q40" s="311">
        <f>SUM(Q36:Q39)</f>
        <v>11466.75</v>
      </c>
      <c r="R40" s="310"/>
      <c r="S40" s="299"/>
      <c r="T40" s="310"/>
    </row>
    <row r="41" spans="2:20" s="336" customFormat="1" ht="19.5" customHeight="1" x14ac:dyDescent="0.35">
      <c r="B41" s="343" t="s">
        <v>338</v>
      </c>
      <c r="C41" s="342"/>
      <c r="D41" s="350">
        <v>0</v>
      </c>
      <c r="E41" s="350">
        <v>0</v>
      </c>
      <c r="F41" s="350">
        <v>0.25</v>
      </c>
      <c r="G41" s="350">
        <v>0.6</v>
      </c>
      <c r="H41" s="350">
        <v>0.67</v>
      </c>
      <c r="I41" s="350">
        <v>0.6</v>
      </c>
      <c r="J41" s="350">
        <v>0.6</v>
      </c>
      <c r="K41" s="350">
        <v>0.5</v>
      </c>
      <c r="L41" s="350">
        <v>0.3</v>
      </c>
      <c r="M41" s="350">
        <v>0.3</v>
      </c>
      <c r="N41" s="350">
        <v>0.3</v>
      </c>
      <c r="O41" s="350">
        <v>0.3</v>
      </c>
      <c r="P41" s="340"/>
      <c r="Q41" s="339"/>
      <c r="R41" s="337"/>
      <c r="S41" s="338"/>
      <c r="T41" s="337"/>
    </row>
    <row r="42" spans="2:20" s="315" customFormat="1" ht="19.5" customHeight="1" x14ac:dyDescent="0.2">
      <c r="B42" s="335" t="s">
        <v>337</v>
      </c>
      <c r="C42" s="334"/>
      <c r="D42" s="333">
        <v>50</v>
      </c>
      <c r="E42" s="333">
        <v>50</v>
      </c>
      <c r="F42" s="333">
        <v>50</v>
      </c>
      <c r="G42" s="333">
        <v>50</v>
      </c>
      <c r="H42" s="333">
        <v>50</v>
      </c>
      <c r="I42" s="333">
        <v>50</v>
      </c>
      <c r="J42" s="333">
        <v>50</v>
      </c>
      <c r="K42" s="333">
        <v>50</v>
      </c>
      <c r="L42" s="333">
        <v>50</v>
      </c>
      <c r="M42" s="333">
        <v>50</v>
      </c>
      <c r="N42" s="333">
        <v>50</v>
      </c>
      <c r="O42" s="333">
        <v>50</v>
      </c>
      <c r="P42" s="319"/>
      <c r="Q42" s="346">
        <f>SUM('Channel Marketing Budget'!$D42:$O42)</f>
        <v>600</v>
      </c>
      <c r="R42" s="344"/>
      <c r="S42" s="345"/>
      <c r="T42" s="344"/>
    </row>
    <row r="43" spans="2:20" s="315" customFormat="1" ht="19.5" customHeight="1" x14ac:dyDescent="0.2">
      <c r="B43" s="329" t="s">
        <v>336</v>
      </c>
      <c r="C43" s="328"/>
      <c r="D43" s="327">
        <v>250</v>
      </c>
      <c r="E43" s="327">
        <v>250</v>
      </c>
      <c r="F43" s="327">
        <v>250</v>
      </c>
      <c r="G43" s="327">
        <v>250</v>
      </c>
      <c r="H43" s="327">
        <v>250</v>
      </c>
      <c r="I43" s="327">
        <v>250</v>
      </c>
      <c r="J43" s="327">
        <v>250</v>
      </c>
      <c r="K43" s="327">
        <v>250</v>
      </c>
      <c r="L43" s="327">
        <v>250</v>
      </c>
      <c r="M43" s="327">
        <v>250</v>
      </c>
      <c r="N43" s="327">
        <v>250</v>
      </c>
      <c r="O43" s="327">
        <v>250</v>
      </c>
      <c r="P43" s="326"/>
      <c r="Q43" s="325">
        <f>SUM('Channel Marketing Budget'!$D43:$O43)</f>
        <v>3000</v>
      </c>
      <c r="R43" s="323"/>
      <c r="S43" s="324"/>
      <c r="T43" s="323"/>
    </row>
    <row r="44" spans="2:20" s="315" customFormat="1" ht="19.5" customHeight="1" x14ac:dyDescent="0.2">
      <c r="B44" s="329" t="s">
        <v>335</v>
      </c>
      <c r="C44" s="328"/>
      <c r="D44" s="327">
        <v>600</v>
      </c>
      <c r="E44" s="327">
        <v>600</v>
      </c>
      <c r="F44" s="327">
        <v>600</v>
      </c>
      <c r="G44" s="327">
        <v>600</v>
      </c>
      <c r="H44" s="327">
        <v>600</v>
      </c>
      <c r="I44" s="327">
        <v>600</v>
      </c>
      <c r="J44" s="327">
        <v>600</v>
      </c>
      <c r="K44" s="327">
        <v>600</v>
      </c>
      <c r="L44" s="327">
        <v>600</v>
      </c>
      <c r="M44" s="327">
        <v>600</v>
      </c>
      <c r="N44" s="327">
        <v>600</v>
      </c>
      <c r="O44" s="327">
        <v>600</v>
      </c>
      <c r="P44" s="326"/>
      <c r="Q44" s="325">
        <f>SUM('Channel Marketing Budget'!$D44:$O44)</f>
        <v>7200</v>
      </c>
      <c r="R44" s="323"/>
      <c r="S44" s="324"/>
      <c r="T44" s="323"/>
    </row>
    <row r="45" spans="2:20" s="315" customFormat="1" ht="19.5" customHeight="1" x14ac:dyDescent="0.2">
      <c r="B45" s="322" t="s">
        <v>334</v>
      </c>
      <c r="C45" s="349">
        <v>0.1</v>
      </c>
      <c r="D45" s="321">
        <f>D3*D41*$C$45</f>
        <v>0</v>
      </c>
      <c r="E45" s="321">
        <f>E3*E41*$C$45</f>
        <v>0</v>
      </c>
      <c r="F45" s="321">
        <f>F3*F41*$C$45</f>
        <v>12.5</v>
      </c>
      <c r="G45" s="321">
        <f>G3*G41*$C$45</f>
        <v>90</v>
      </c>
      <c r="H45" s="321">
        <f>H3*H41*$C$45</f>
        <v>80.400000000000006</v>
      </c>
      <c r="I45" s="321">
        <f>I3*I41*$C$45</f>
        <v>90</v>
      </c>
      <c r="J45" s="321">
        <f>J3*J41*$C$45</f>
        <v>90</v>
      </c>
      <c r="K45" s="321">
        <f>K3*K41*$C$45</f>
        <v>90</v>
      </c>
      <c r="L45" s="321">
        <f>L3*L41*$C$45</f>
        <v>60</v>
      </c>
      <c r="M45" s="321">
        <f>M3*M41*$C$45</f>
        <v>60</v>
      </c>
      <c r="N45" s="321">
        <f>N3*N41*$C$45</f>
        <v>60</v>
      </c>
      <c r="O45" s="321">
        <f>O3*O41*$C$45</f>
        <v>60</v>
      </c>
      <c r="P45" s="319"/>
      <c r="Q45" s="318">
        <f>SUM('Channel Marketing Budget'!$D45:$O45)</f>
        <v>692.9</v>
      </c>
      <c r="R45" s="316"/>
      <c r="S45" s="317"/>
      <c r="T45" s="316"/>
    </row>
    <row r="46" spans="2:20" s="309" customFormat="1" ht="19.5" customHeight="1" thickBot="1" x14ac:dyDescent="0.3">
      <c r="B46" s="314" t="s">
        <v>333</v>
      </c>
      <c r="C46" s="313"/>
      <c r="D46" s="312">
        <f>SUM(D42:D45)</f>
        <v>900</v>
      </c>
      <c r="E46" s="312">
        <f>SUM(E42:E45)</f>
        <v>900</v>
      </c>
      <c r="F46" s="312">
        <f>SUM(F42:F45)</f>
        <v>912.5</v>
      </c>
      <c r="G46" s="312">
        <f>SUM(G42:G45)</f>
        <v>990</v>
      </c>
      <c r="H46" s="312">
        <f>SUM(H42:H45)</f>
        <v>980.4</v>
      </c>
      <c r="I46" s="312">
        <f>SUM(I42:I45)</f>
        <v>990</v>
      </c>
      <c r="J46" s="312">
        <f>SUM(J42:J45)</f>
        <v>990</v>
      </c>
      <c r="K46" s="312">
        <f>SUM(K42:K45)</f>
        <v>990</v>
      </c>
      <c r="L46" s="312">
        <f>SUM(L42:L45)</f>
        <v>960</v>
      </c>
      <c r="M46" s="312">
        <f>SUM(M42:M45)</f>
        <v>960</v>
      </c>
      <c r="N46" s="312">
        <f>SUM(N42:N45)</f>
        <v>960</v>
      </c>
      <c r="O46" s="312">
        <f>SUM(O42:O45)</f>
        <v>960</v>
      </c>
      <c r="P46" s="301"/>
      <c r="Q46" s="311">
        <f>SUM(Q42:Q45)</f>
        <v>11492.9</v>
      </c>
      <c r="R46" s="310"/>
      <c r="S46" s="299"/>
      <c r="T46" s="310"/>
    </row>
    <row r="47" spans="2:20" s="336" customFormat="1" ht="19.5" customHeight="1" x14ac:dyDescent="0.35">
      <c r="B47" s="348" t="s">
        <v>332</v>
      </c>
      <c r="C47" s="347"/>
      <c r="D47" s="341"/>
      <c r="E47" s="341"/>
      <c r="F47" s="341"/>
      <c r="G47" s="341"/>
      <c r="H47" s="341"/>
      <c r="I47" s="341"/>
      <c r="J47" s="341"/>
      <c r="K47" s="341"/>
      <c r="L47" s="341"/>
      <c r="M47" s="341"/>
      <c r="N47" s="341"/>
      <c r="O47" s="341"/>
      <c r="P47" s="340"/>
      <c r="Q47" s="339"/>
      <c r="R47" s="337"/>
      <c r="S47" s="338"/>
      <c r="T47" s="337"/>
    </row>
    <row r="48" spans="2:20" s="315" customFormat="1" ht="19.5" customHeight="1" x14ac:dyDescent="0.2">
      <c r="B48" s="335" t="s">
        <v>331</v>
      </c>
      <c r="C48" s="334"/>
      <c r="D48" s="333">
        <v>50</v>
      </c>
      <c r="E48" s="333">
        <v>50</v>
      </c>
      <c r="F48" s="333">
        <v>50</v>
      </c>
      <c r="G48" s="333">
        <v>50</v>
      </c>
      <c r="H48" s="333">
        <v>50</v>
      </c>
      <c r="I48" s="333">
        <v>50</v>
      </c>
      <c r="J48" s="333">
        <v>50</v>
      </c>
      <c r="K48" s="333">
        <v>50</v>
      </c>
      <c r="L48" s="333">
        <v>50</v>
      </c>
      <c r="M48" s="333">
        <v>50</v>
      </c>
      <c r="N48" s="333">
        <v>50</v>
      </c>
      <c r="O48" s="333">
        <v>50</v>
      </c>
      <c r="P48" s="319"/>
      <c r="Q48" s="346">
        <f>SUM('Channel Marketing Budget'!$D48:$O48)</f>
        <v>600</v>
      </c>
      <c r="R48" s="344"/>
      <c r="S48" s="345"/>
      <c r="T48" s="344"/>
    </row>
    <row r="49" spans="2:20" s="315" customFormat="1" ht="19.5" customHeight="1" x14ac:dyDescent="0.2">
      <c r="B49" s="329" t="s">
        <v>330</v>
      </c>
      <c r="C49" s="328"/>
      <c r="D49" s="327">
        <v>250</v>
      </c>
      <c r="E49" s="327">
        <v>250</v>
      </c>
      <c r="F49" s="327">
        <v>250</v>
      </c>
      <c r="G49" s="327">
        <v>250</v>
      </c>
      <c r="H49" s="327">
        <v>250</v>
      </c>
      <c r="I49" s="327">
        <v>250</v>
      </c>
      <c r="J49" s="327">
        <v>250</v>
      </c>
      <c r="K49" s="327">
        <v>250</v>
      </c>
      <c r="L49" s="327">
        <v>250</v>
      </c>
      <c r="M49" s="327">
        <v>250</v>
      </c>
      <c r="N49" s="327">
        <v>250</v>
      </c>
      <c r="O49" s="327">
        <v>250</v>
      </c>
      <c r="P49" s="326"/>
      <c r="Q49" s="325">
        <f>SUM('Channel Marketing Budget'!$D49:$O49)</f>
        <v>3000</v>
      </c>
      <c r="R49" s="323"/>
      <c r="S49" s="324"/>
      <c r="T49" s="323"/>
    </row>
    <row r="50" spans="2:20" s="315" customFormat="1" ht="19.5" customHeight="1" x14ac:dyDescent="0.2">
      <c r="B50" s="322" t="s">
        <v>329</v>
      </c>
      <c r="C50" s="321"/>
      <c r="D50" s="320">
        <v>600</v>
      </c>
      <c r="E50" s="320">
        <v>600</v>
      </c>
      <c r="F50" s="320">
        <v>600</v>
      </c>
      <c r="G50" s="320">
        <v>600</v>
      </c>
      <c r="H50" s="320">
        <v>600</v>
      </c>
      <c r="I50" s="320">
        <v>600</v>
      </c>
      <c r="J50" s="320">
        <v>600</v>
      </c>
      <c r="K50" s="320">
        <v>600</v>
      </c>
      <c r="L50" s="320">
        <v>600</v>
      </c>
      <c r="M50" s="320">
        <v>600</v>
      </c>
      <c r="N50" s="320">
        <v>600</v>
      </c>
      <c r="O50" s="320">
        <v>600</v>
      </c>
      <c r="P50" s="319"/>
      <c r="Q50" s="318">
        <f>SUM('Channel Marketing Budget'!$D50:$O50)</f>
        <v>7200</v>
      </c>
      <c r="R50" s="316"/>
      <c r="S50" s="317"/>
      <c r="T50" s="316"/>
    </row>
    <row r="51" spans="2:20" s="309" customFormat="1" ht="19.5" customHeight="1" thickBot="1" x14ac:dyDescent="0.3">
      <c r="B51" s="314" t="s">
        <v>328</v>
      </c>
      <c r="C51" s="313"/>
      <c r="D51" s="312">
        <f>SUM(D48:D50)</f>
        <v>900</v>
      </c>
      <c r="E51" s="312">
        <f>SUM(E48:E50)</f>
        <v>900</v>
      </c>
      <c r="F51" s="312">
        <f>SUM(F48:F50)</f>
        <v>900</v>
      </c>
      <c r="G51" s="312">
        <f>SUM(G48:G50)</f>
        <v>900</v>
      </c>
      <c r="H51" s="312">
        <f>SUM(H48:H50)</f>
        <v>900</v>
      </c>
      <c r="I51" s="312">
        <f>SUM(I48:I50)</f>
        <v>900</v>
      </c>
      <c r="J51" s="312">
        <f>SUM(J48:J50)</f>
        <v>900</v>
      </c>
      <c r="K51" s="312">
        <f>SUM(K48:K50)</f>
        <v>900</v>
      </c>
      <c r="L51" s="312">
        <f>SUM(L48:L50)</f>
        <v>900</v>
      </c>
      <c r="M51" s="312">
        <f>SUM(M48:M50)</f>
        <v>900</v>
      </c>
      <c r="N51" s="312">
        <f>SUM(N48:N50)</f>
        <v>900</v>
      </c>
      <c r="O51" s="312">
        <f>SUM(O48:O50)</f>
        <v>900</v>
      </c>
      <c r="P51" s="301"/>
      <c r="Q51" s="311">
        <f>SUM(Q48:Q50)</f>
        <v>10800</v>
      </c>
      <c r="R51" s="310"/>
      <c r="S51" s="299"/>
      <c r="T51" s="310"/>
    </row>
    <row r="52" spans="2:20" s="336" customFormat="1" ht="19.5" customHeight="1" x14ac:dyDescent="0.35">
      <c r="B52" s="343" t="s">
        <v>327</v>
      </c>
      <c r="C52" s="342"/>
      <c r="D52" s="341"/>
      <c r="E52" s="341"/>
      <c r="F52" s="341"/>
      <c r="G52" s="341"/>
      <c r="H52" s="341"/>
      <c r="I52" s="341"/>
      <c r="J52" s="341"/>
      <c r="K52" s="341"/>
      <c r="L52" s="341"/>
      <c r="M52" s="341"/>
      <c r="N52" s="341"/>
      <c r="O52" s="341"/>
      <c r="P52" s="340"/>
      <c r="Q52" s="339"/>
      <c r="R52" s="337"/>
      <c r="S52" s="338"/>
      <c r="T52" s="337"/>
    </row>
    <row r="53" spans="2:20" s="315" customFormat="1" ht="19.5" customHeight="1" x14ac:dyDescent="0.2">
      <c r="B53" s="335" t="s">
        <v>104</v>
      </c>
      <c r="C53" s="334"/>
      <c r="D53" s="333">
        <v>50</v>
      </c>
      <c r="E53" s="333">
        <v>50</v>
      </c>
      <c r="F53" s="333">
        <v>50</v>
      </c>
      <c r="G53" s="333">
        <v>50</v>
      </c>
      <c r="H53" s="333">
        <v>50</v>
      </c>
      <c r="I53" s="333">
        <v>50</v>
      </c>
      <c r="J53" s="333">
        <v>50</v>
      </c>
      <c r="K53" s="333">
        <v>50</v>
      </c>
      <c r="L53" s="333">
        <v>50</v>
      </c>
      <c r="M53" s="333">
        <v>50</v>
      </c>
      <c r="N53" s="333">
        <v>50</v>
      </c>
      <c r="O53" s="333">
        <v>50</v>
      </c>
      <c r="P53" s="319"/>
      <c r="Q53" s="332">
        <f>SUM('Channel Marketing Budget'!$D53:$O53)</f>
        <v>600</v>
      </c>
      <c r="R53" s="330"/>
      <c r="S53" s="331"/>
      <c r="T53" s="330"/>
    </row>
    <row r="54" spans="2:20" s="315" customFormat="1" ht="19.5" customHeight="1" x14ac:dyDescent="0.2">
      <c r="B54" s="329" t="s">
        <v>326</v>
      </c>
      <c r="C54" s="328"/>
      <c r="D54" s="327">
        <v>250</v>
      </c>
      <c r="E54" s="327">
        <v>250</v>
      </c>
      <c r="F54" s="327">
        <v>250</v>
      </c>
      <c r="G54" s="327">
        <v>250</v>
      </c>
      <c r="H54" s="327">
        <v>250</v>
      </c>
      <c r="I54" s="327">
        <v>250</v>
      </c>
      <c r="J54" s="327">
        <v>250</v>
      </c>
      <c r="K54" s="327">
        <v>250</v>
      </c>
      <c r="L54" s="327">
        <v>250</v>
      </c>
      <c r="M54" s="327">
        <v>250</v>
      </c>
      <c r="N54" s="327">
        <v>250</v>
      </c>
      <c r="O54" s="327">
        <v>250</v>
      </c>
      <c r="P54" s="326"/>
      <c r="Q54" s="325">
        <f>SUM('Channel Marketing Budget'!$D54:$O54)</f>
        <v>3000</v>
      </c>
      <c r="R54" s="323"/>
      <c r="S54" s="324"/>
      <c r="T54" s="323"/>
    </row>
    <row r="55" spans="2:20" s="315" customFormat="1" ht="19.5" customHeight="1" x14ac:dyDescent="0.2">
      <c r="B55" s="322" t="s">
        <v>325</v>
      </c>
      <c r="C55" s="321"/>
      <c r="D55" s="320">
        <v>600</v>
      </c>
      <c r="E55" s="320">
        <v>600</v>
      </c>
      <c r="F55" s="320">
        <v>600</v>
      </c>
      <c r="G55" s="320">
        <v>600</v>
      </c>
      <c r="H55" s="320">
        <v>600</v>
      </c>
      <c r="I55" s="320">
        <v>600</v>
      </c>
      <c r="J55" s="320">
        <v>600</v>
      </c>
      <c r="K55" s="320">
        <v>600</v>
      </c>
      <c r="L55" s="320">
        <v>600</v>
      </c>
      <c r="M55" s="320">
        <v>600</v>
      </c>
      <c r="N55" s="320">
        <v>600</v>
      </c>
      <c r="O55" s="320">
        <v>600</v>
      </c>
      <c r="P55" s="319"/>
      <c r="Q55" s="318">
        <f>SUM('Channel Marketing Budget'!$D55:$O55)</f>
        <v>7200</v>
      </c>
      <c r="R55" s="316"/>
      <c r="S55" s="317"/>
      <c r="T55" s="316"/>
    </row>
    <row r="56" spans="2:20" s="309" customFormat="1" ht="19.5" customHeight="1" thickBot="1" x14ac:dyDescent="0.3">
      <c r="B56" s="314" t="s">
        <v>324</v>
      </c>
      <c r="C56" s="313"/>
      <c r="D56" s="312">
        <f>SUM(D53:D55)</f>
        <v>900</v>
      </c>
      <c r="E56" s="312">
        <f>SUM(E53:E55)</f>
        <v>900</v>
      </c>
      <c r="F56" s="312">
        <f>SUM(F53:F55)</f>
        <v>900</v>
      </c>
      <c r="G56" s="312">
        <f>SUM(G53:G55)</f>
        <v>900</v>
      </c>
      <c r="H56" s="312">
        <f>SUM(H53:H55)</f>
        <v>900</v>
      </c>
      <c r="I56" s="312">
        <f>SUM(I53:I55)</f>
        <v>900</v>
      </c>
      <c r="J56" s="312">
        <f>SUM(J53:J55)</f>
        <v>900</v>
      </c>
      <c r="K56" s="312">
        <f>SUM(K53:K55)</f>
        <v>900</v>
      </c>
      <c r="L56" s="312">
        <f>SUM(L53:L55)</f>
        <v>900</v>
      </c>
      <c r="M56" s="312">
        <f>SUM(M53:M55)</f>
        <v>900</v>
      </c>
      <c r="N56" s="312">
        <f>SUM(N53:N55)</f>
        <v>900</v>
      </c>
      <c r="O56" s="312">
        <f>SUM(O53:O55)</f>
        <v>900</v>
      </c>
      <c r="P56" s="301"/>
      <c r="Q56" s="311">
        <f>SUM(Q53:Q55)</f>
        <v>10800</v>
      </c>
      <c r="R56" s="310"/>
      <c r="S56" s="299"/>
      <c r="T56" s="310"/>
    </row>
    <row r="57" spans="2:20" ht="19.5" customHeight="1" thickBot="1" x14ac:dyDescent="0.3">
      <c r="D57" s="308"/>
      <c r="E57" s="308"/>
      <c r="F57" s="308"/>
      <c r="G57" s="308"/>
      <c r="H57" s="308"/>
      <c r="I57" s="308"/>
      <c r="J57" s="308"/>
      <c r="K57" s="308"/>
      <c r="L57" s="308"/>
      <c r="M57" s="308"/>
      <c r="N57" s="308"/>
      <c r="O57" s="308"/>
      <c r="P57" s="308"/>
      <c r="Q57" s="307"/>
      <c r="R57" s="305"/>
      <c r="S57" s="306"/>
      <c r="T57" s="305"/>
    </row>
    <row r="58" spans="2:20" s="297" customFormat="1" ht="19.5" customHeight="1" thickTop="1" x14ac:dyDescent="0.25">
      <c r="B58" s="304" t="s">
        <v>323</v>
      </c>
      <c r="C58" s="303"/>
      <c r="D58" s="302">
        <f>SUM(D8,D27,D34,D40,D46,D51,D56)</f>
        <v>6379.75</v>
      </c>
      <c r="E58" s="302">
        <f>SUM(E8,E27,E34,E40,E46,E51,E56)</f>
        <v>5811.05</v>
      </c>
      <c r="F58" s="302">
        <f>SUM(F8,F27,F34,F40,F46,F51,F56)</f>
        <v>5859.9375</v>
      </c>
      <c r="G58" s="302">
        <f>SUM(G8,G27,G34,G40,G46,G51,G56)</f>
        <v>5928.55</v>
      </c>
      <c r="H58" s="302">
        <f>SUM(H8,H27,H34,H40,H46,H51,H56)</f>
        <v>5942.5479999999998</v>
      </c>
      <c r="I58" s="302">
        <f>SUM(I8,I27,I34,I40,I46,I51,I56)</f>
        <v>5962.1875</v>
      </c>
      <c r="J58" s="302">
        <f>SUM(J8,J27,J34,J40,J46,J51,J56)</f>
        <v>6003.4</v>
      </c>
      <c r="K58" s="302">
        <f>SUM(K8,K27,K34,K40,K46,K51,K56)</f>
        <v>6042.6399999999994</v>
      </c>
      <c r="L58" s="302">
        <f>SUM(L8,L27,L34,L40,L46,L51,L56)</f>
        <v>6058.8</v>
      </c>
      <c r="M58" s="302">
        <f>SUM(M8,M27,M34,M40,M46,M51,M56)</f>
        <v>6028.8</v>
      </c>
      <c r="N58" s="302">
        <f>SUM(N8,N27,N34,N40,N46,N51,N56)</f>
        <v>6083.8</v>
      </c>
      <c r="O58" s="302">
        <f>SUM(O8,O27,O34,O40,O46,O51,O56)</f>
        <v>6028.8</v>
      </c>
      <c r="P58" s="301"/>
      <c r="Q58" s="300">
        <f>SUM(Q8,Q27,Q34,Q40,Q46,Q51,Q56)</f>
        <v>72130.263000000006</v>
      </c>
      <c r="R58" s="298"/>
      <c r="S58" s="299"/>
      <c r="T58" s="298"/>
    </row>
  </sheetData>
  <printOptions horizontalCentered="1"/>
  <pageMargins left="0.25" right="0.25" top="0.75" bottom="0.75" header="0.3" footer="0.3"/>
  <pageSetup scale="58" fitToHeight="0" orientation="landscape" r:id="rId1"/>
  <headerFooter>
    <oddFooter>Page &amp;P of &amp;N</oddFooter>
  </headerFooter>
  <extLst>
    <ext xmlns:x14="http://schemas.microsoft.com/office/spreadsheetml/2009/9/main" uri="{05C60535-1F16-4fd2-B633-F4F36F0B64E0}">
      <x14:sparklineGroups xmlns:xm="http://schemas.microsoft.com/office/excel/2006/main">
        <x14:sparklineGroup lineWeight="1" displayEmptyCellsAs="gap" high="1" low="1">
          <x14:colorSeries theme="1" tint="0.499984740745262"/>
          <x14:colorNegative theme="5"/>
          <x14:colorAxis rgb="FF000000"/>
          <x14:colorMarkers theme="4" tint="-0.499984740745262"/>
          <x14:colorFirst theme="4" tint="0.39997558519241921"/>
          <x14:colorLast theme="4" tint="0.39997558519241921"/>
          <x14:colorHigh theme="4" tint="-0.499984740745262"/>
          <x14:colorLow theme="4" tint="-0.499984740745262"/>
          <x14:sparklines>
            <x14:sparkline>
              <xm:f>'Channel Marketing Budget'!D58:O58</xm:f>
              <xm:sqref>S58</xm:sqref>
            </x14:sparkline>
            <x14:sparkline>
              <xm:f>'Channel Marketing Budget'!D56:O56</xm:f>
              <xm:sqref>S56</xm:sqref>
            </x14:sparkline>
            <x14:sparkline>
              <xm:f>'Channel Marketing Budget'!D51:O51</xm:f>
              <xm:sqref>S51</xm:sqref>
            </x14:sparkline>
            <x14:sparkline>
              <xm:f>'Channel Marketing Budget'!D46:O46</xm:f>
              <xm:sqref>S46</xm:sqref>
            </x14:sparkline>
            <x14:sparkline>
              <xm:f>'Channel Marketing Budget'!D40:O40</xm:f>
              <xm:sqref>S40</xm:sqref>
            </x14:sparkline>
            <x14:sparkline>
              <xm:f>'Channel Marketing Budget'!D34:O34</xm:f>
              <xm:sqref>S34</xm:sqref>
            </x14:sparkline>
            <x14:sparkline>
              <xm:f>'Channel Marketing Budget'!D27:O27</xm:f>
              <xm:sqref>S27</xm:sqref>
            </x14:sparkline>
            <x14:sparkline>
              <xm:f>'Channel Marketing Budget'!D21:O21</xm:f>
              <xm:sqref>S21</xm:sqref>
            </x14:sparkline>
            <x14:sparkline>
              <xm:f>'Channel Marketing Budget'!D15:O15</xm:f>
              <xm:sqref>S15</xm:sqref>
            </x14:sparkline>
            <x14:sparkline>
              <xm:f>'Channel Marketing Budget'!D8:O8</xm:f>
              <xm:sqref>S8</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749992370372631"/>
    <pageSetUpPr fitToPage="1"/>
  </sheetPr>
  <dimension ref="A1:AH12"/>
  <sheetViews>
    <sheetView showGridLines="0" zoomScaleNormal="100" workbookViewId="0"/>
  </sheetViews>
  <sheetFormatPr defaultRowHeight="15" customHeight="1" x14ac:dyDescent="0.25"/>
  <cols>
    <col min="1" max="1" width="24.28515625" style="41" customWidth="1"/>
    <col min="2" max="32" width="4" style="39" customWidth="1"/>
    <col min="33" max="33" width="13.5703125" style="40" customWidth="1"/>
    <col min="34" max="34" width="9.140625" style="39"/>
    <col min="35" max="16384" width="9.140625" style="38"/>
  </cols>
  <sheetData>
    <row r="1" spans="1:34" s="83" customFormat="1" ht="50.25" customHeight="1" x14ac:dyDescent="0.25">
      <c r="A1" s="88" t="s">
        <v>187</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6"/>
      <c r="AD1" s="86"/>
      <c r="AE1" s="85"/>
      <c r="AF1" s="42"/>
      <c r="AG1" s="42"/>
      <c r="AH1" s="84"/>
    </row>
    <row r="2" spans="1:34" ht="30" customHeight="1" x14ac:dyDescent="0.25">
      <c r="A2" s="70" t="s">
        <v>188</v>
      </c>
      <c r="B2" s="73" t="s">
        <v>185</v>
      </c>
      <c r="C2" s="73"/>
      <c r="D2" s="73"/>
      <c r="E2" s="73"/>
      <c r="F2" s="73"/>
      <c r="G2" s="73"/>
      <c r="H2" s="73"/>
      <c r="I2" s="73"/>
      <c r="J2" s="73"/>
      <c r="K2" s="73"/>
      <c r="L2" s="73"/>
      <c r="M2" s="73"/>
      <c r="N2" s="73"/>
      <c r="O2" s="73"/>
      <c r="P2" s="73"/>
      <c r="Q2" s="73"/>
      <c r="R2" s="73"/>
      <c r="S2" s="73"/>
      <c r="T2" s="73"/>
      <c r="U2" s="73"/>
      <c r="V2" s="73"/>
      <c r="W2" s="73"/>
      <c r="X2" s="73"/>
      <c r="Y2" s="73"/>
      <c r="Z2" s="73"/>
      <c r="AA2" s="73"/>
      <c r="AB2" s="73"/>
      <c r="AC2" s="73"/>
      <c r="AD2" s="73"/>
      <c r="AE2" s="73"/>
      <c r="AF2" s="73"/>
      <c r="AG2" s="66">
        <f>CalendarYear</f>
        <v>2013</v>
      </c>
    </row>
    <row r="3" spans="1:34" ht="15.75" customHeight="1" x14ac:dyDescent="0.25">
      <c r="A3" s="70"/>
      <c r="B3" s="69" t="str">
        <f>TEXT(WEEKDAY(DATE(CalendarYear,2,1),1),"aaa")</f>
        <v>Oca</v>
      </c>
      <c r="C3" s="68" t="str">
        <f>TEXT(WEEKDAY(DATE(CalendarYear,2,2),1),"aaa")</f>
        <v>Oca</v>
      </c>
      <c r="D3" s="68" t="str">
        <f>TEXT(WEEKDAY(DATE(CalendarYear,2,3),1),"aaa")</f>
        <v>Oca</v>
      </c>
      <c r="E3" s="68" t="str">
        <f>TEXT(WEEKDAY(DATE(CalendarYear,2,4),1),"aaa")</f>
        <v>Oca</v>
      </c>
      <c r="F3" s="68" t="str">
        <f>TEXT(WEEKDAY(DATE(CalendarYear,2,5),1),"aaa")</f>
        <v>Oca</v>
      </c>
      <c r="G3" s="68" t="str">
        <f>TEXT(WEEKDAY(DATE(CalendarYear,2,6),1),"aaa")</f>
        <v>Oca</v>
      </c>
      <c r="H3" s="68" t="str">
        <f>TEXT(WEEKDAY(DATE(CalendarYear,2,7),1),"aaa")</f>
        <v>Oca</v>
      </c>
      <c r="I3" s="68" t="str">
        <f>TEXT(WEEKDAY(DATE(CalendarYear,2,8),1),"aaa")</f>
        <v>Oca</v>
      </c>
      <c r="J3" s="68" t="str">
        <f>TEXT(WEEKDAY(DATE(CalendarYear,2,9),1),"aaa")</f>
        <v>Oca</v>
      </c>
      <c r="K3" s="68" t="str">
        <f>TEXT(WEEKDAY(DATE(CalendarYear,2,10),1),"aaa")</f>
        <v>Oca</v>
      </c>
      <c r="L3" s="68" t="str">
        <f>TEXT(WEEKDAY(DATE(CalendarYear,2,11),1),"aaa")</f>
        <v>Oca</v>
      </c>
      <c r="M3" s="68" t="str">
        <f>TEXT(WEEKDAY(DATE(CalendarYear,2,12),1),"aaa")</f>
        <v>Oca</v>
      </c>
      <c r="N3" s="68" t="str">
        <f>TEXT(WEEKDAY(DATE(CalendarYear,2,13),1),"aaa")</f>
        <v>Oca</v>
      </c>
      <c r="O3" s="68" t="str">
        <f>TEXT(WEEKDAY(DATE(CalendarYear,2,14),1),"aaa")</f>
        <v>Oca</v>
      </c>
      <c r="P3" s="68" t="str">
        <f>TEXT(WEEKDAY(DATE(CalendarYear,2,15),1),"aaa")</f>
        <v>Oca</v>
      </c>
      <c r="Q3" s="68" t="str">
        <f>TEXT(WEEKDAY(DATE(CalendarYear,2,16),1),"aaa")</f>
        <v>Oca</v>
      </c>
      <c r="R3" s="68" t="str">
        <f>TEXT(WEEKDAY(DATE(CalendarYear,2,17),1),"aaa")</f>
        <v>Oca</v>
      </c>
      <c r="S3" s="68" t="str">
        <f>TEXT(WEEKDAY(DATE(CalendarYear,2,18),1),"aaa")</f>
        <v>Oca</v>
      </c>
      <c r="T3" s="68" t="str">
        <f>TEXT(WEEKDAY(DATE(CalendarYear,2,19),1),"aaa")</f>
        <v>Oca</v>
      </c>
      <c r="U3" s="68" t="str">
        <f>TEXT(WEEKDAY(DATE(CalendarYear,2,20),1),"aaa")</f>
        <v>Oca</v>
      </c>
      <c r="V3" s="68" t="str">
        <f>TEXT(WEEKDAY(DATE(CalendarYear,2,21),1),"aaa")</f>
        <v>Oca</v>
      </c>
      <c r="W3" s="68" t="str">
        <f>TEXT(WEEKDAY(DATE(CalendarYear,2,22),1),"aaa")</f>
        <v>Oca</v>
      </c>
      <c r="X3" s="68" t="str">
        <f>TEXT(WEEKDAY(DATE(CalendarYear,2,23),1),"aaa")</f>
        <v>Oca</v>
      </c>
      <c r="Y3" s="68" t="str">
        <f>TEXT(WEEKDAY(DATE(CalendarYear,2,24),1),"aaa")</f>
        <v>Oca</v>
      </c>
      <c r="Z3" s="68" t="str">
        <f>TEXT(WEEKDAY(DATE(CalendarYear,2,25),1),"aaa")</f>
        <v>Oca</v>
      </c>
      <c r="AA3" s="68" t="str">
        <f>TEXT(WEEKDAY(DATE(CalendarYear,2,26),1),"aaa")</f>
        <v>Oca</v>
      </c>
      <c r="AB3" s="68" t="str">
        <f>TEXT(WEEKDAY(DATE(CalendarYear,2,27),1),"aaa")</f>
        <v>Oca</v>
      </c>
      <c r="AC3" s="68" t="str">
        <f>TEXT(WEEKDAY(DATE(CalendarYear,2,28),1),"aaa")</f>
        <v>Oca</v>
      </c>
      <c r="AD3" s="68" t="str">
        <f>TEXT(WEEKDAY(DATE(CalendarYear,2,29),1),"aaa")</f>
        <v>Oca</v>
      </c>
      <c r="AE3" s="68"/>
      <c r="AF3" s="67"/>
      <c r="AG3" s="66"/>
    </row>
    <row r="4" spans="1:34" s="57" customFormat="1" x14ac:dyDescent="0.25">
      <c r="A4" s="63" t="s">
        <v>184</v>
      </c>
      <c r="B4" s="59" t="s">
        <v>183</v>
      </c>
      <c r="C4" s="59" t="s">
        <v>182</v>
      </c>
      <c r="D4" s="59" t="s">
        <v>181</v>
      </c>
      <c r="E4" s="59" t="s">
        <v>180</v>
      </c>
      <c r="F4" s="59" t="s">
        <v>179</v>
      </c>
      <c r="G4" s="59" t="s">
        <v>178</v>
      </c>
      <c r="H4" s="59" t="s">
        <v>177</v>
      </c>
      <c r="I4" s="59" t="s">
        <v>176</v>
      </c>
      <c r="J4" s="59" t="s">
        <v>175</v>
      </c>
      <c r="K4" s="59" t="s">
        <v>174</v>
      </c>
      <c r="L4" s="59" t="s">
        <v>173</v>
      </c>
      <c r="M4" s="59" t="s">
        <v>172</v>
      </c>
      <c r="N4" s="59" t="s">
        <v>171</v>
      </c>
      <c r="O4" s="59" t="s">
        <v>170</v>
      </c>
      <c r="P4" s="59" t="s">
        <v>169</v>
      </c>
      <c r="Q4" s="59" t="s">
        <v>168</v>
      </c>
      <c r="R4" s="59" t="s">
        <v>167</v>
      </c>
      <c r="S4" s="59" t="s">
        <v>166</v>
      </c>
      <c r="T4" s="59" t="s">
        <v>165</v>
      </c>
      <c r="U4" s="59" t="s">
        <v>164</v>
      </c>
      <c r="V4" s="59" t="s">
        <v>163</v>
      </c>
      <c r="W4" s="59" t="s">
        <v>162</v>
      </c>
      <c r="X4" s="59" t="s">
        <v>161</v>
      </c>
      <c r="Y4" s="59" t="s">
        <v>160</v>
      </c>
      <c r="Z4" s="59" t="s">
        <v>159</v>
      </c>
      <c r="AA4" s="59" t="s">
        <v>158</v>
      </c>
      <c r="AB4" s="59" t="s">
        <v>157</v>
      </c>
      <c r="AC4" s="59" t="s">
        <v>156</v>
      </c>
      <c r="AD4" s="82" t="s">
        <v>155</v>
      </c>
      <c r="AE4" s="59" t="s">
        <v>78</v>
      </c>
      <c r="AF4" s="59" t="s">
        <v>83</v>
      </c>
      <c r="AG4" s="59" t="s">
        <v>152</v>
      </c>
      <c r="AH4" s="58"/>
    </row>
    <row r="5" spans="1:34" s="57" customFormat="1" x14ac:dyDescent="0.25">
      <c r="A5" s="60" t="s">
        <v>151</v>
      </c>
      <c r="B5" s="59"/>
      <c r="C5" s="59"/>
      <c r="D5" s="59" t="s">
        <v>145</v>
      </c>
      <c r="E5" s="59" t="s">
        <v>145</v>
      </c>
      <c r="F5" s="59" t="s">
        <v>145</v>
      </c>
      <c r="G5" s="59" t="s">
        <v>145</v>
      </c>
      <c r="H5" s="59"/>
      <c r="I5" s="59"/>
      <c r="J5" s="59"/>
      <c r="K5" s="59"/>
      <c r="L5" s="59"/>
      <c r="M5" s="59"/>
      <c r="N5" s="59" t="s">
        <v>145</v>
      </c>
      <c r="O5" s="59"/>
      <c r="P5" s="59"/>
      <c r="Q5" s="59"/>
      <c r="R5" s="59"/>
      <c r="S5" s="59"/>
      <c r="T5" s="59"/>
      <c r="U5" s="59"/>
      <c r="V5" s="59"/>
      <c r="W5" s="59"/>
      <c r="X5" s="59"/>
      <c r="Y5" s="59"/>
      <c r="Z5" s="59"/>
      <c r="AA5" s="59"/>
      <c r="AB5" s="59"/>
      <c r="AC5" s="59"/>
      <c r="AD5" s="59"/>
      <c r="AE5" s="59"/>
      <c r="AF5" s="59"/>
      <c r="AG5" s="55">
        <f>COUNTA(tblFebruary[[#This Row],[1]:[29]])</f>
        <v>5</v>
      </c>
      <c r="AH5" s="58"/>
    </row>
    <row r="6" spans="1:34" s="57" customFormat="1" x14ac:dyDescent="0.25">
      <c r="A6" s="60" t="s">
        <v>150</v>
      </c>
      <c r="B6" s="59"/>
      <c r="C6" s="59"/>
      <c r="D6" s="59"/>
      <c r="E6" s="59"/>
      <c r="F6" s="59" t="s">
        <v>142</v>
      </c>
      <c r="G6" s="59" t="s">
        <v>142</v>
      </c>
      <c r="H6" s="59"/>
      <c r="I6" s="59"/>
      <c r="J6" s="59"/>
      <c r="K6" s="59"/>
      <c r="L6" s="59" t="s">
        <v>143</v>
      </c>
      <c r="M6" s="59"/>
      <c r="N6" s="59"/>
      <c r="O6" s="59"/>
      <c r="P6" s="59"/>
      <c r="Q6" s="59"/>
      <c r="R6" s="59"/>
      <c r="S6" s="59"/>
      <c r="T6" s="59"/>
      <c r="U6" s="59" t="s">
        <v>142</v>
      </c>
      <c r="V6" s="59"/>
      <c r="W6" s="59"/>
      <c r="X6" s="59"/>
      <c r="Y6" s="59"/>
      <c r="Z6" s="59" t="s">
        <v>145</v>
      </c>
      <c r="AA6" s="59" t="s">
        <v>145</v>
      </c>
      <c r="AB6" s="59" t="s">
        <v>145</v>
      </c>
      <c r="AC6" s="59"/>
      <c r="AD6" s="59"/>
      <c r="AE6" s="59"/>
      <c r="AF6" s="59"/>
      <c r="AG6" s="55">
        <f>COUNTA(tblFebruary[[#This Row],[1]:[29]])</f>
        <v>7</v>
      </c>
      <c r="AH6" s="58"/>
    </row>
    <row r="7" spans="1:34" ht="15" customHeight="1" x14ac:dyDescent="0.25">
      <c r="A7" s="60" t="s">
        <v>149</v>
      </c>
      <c r="B7" s="59"/>
      <c r="C7" s="59"/>
      <c r="D7" s="59"/>
      <c r="E7" s="59"/>
      <c r="F7" s="59"/>
      <c r="G7" s="59"/>
      <c r="H7" s="59"/>
      <c r="I7" s="59"/>
      <c r="J7" s="59"/>
      <c r="K7" s="59"/>
      <c r="L7" s="59"/>
      <c r="M7" s="59"/>
      <c r="N7" s="59"/>
      <c r="O7" s="59"/>
      <c r="P7" s="59"/>
      <c r="Q7" s="59"/>
      <c r="R7" s="59"/>
      <c r="S7" s="59"/>
      <c r="T7" s="59"/>
      <c r="U7" s="59"/>
      <c r="V7" s="59"/>
      <c r="W7" s="59"/>
      <c r="X7" s="59"/>
      <c r="Y7" s="59"/>
      <c r="Z7" s="59"/>
      <c r="AA7" s="59"/>
      <c r="AB7" s="59"/>
      <c r="AC7" s="59"/>
      <c r="AD7" s="59"/>
      <c r="AE7" s="59"/>
      <c r="AF7" s="59"/>
      <c r="AG7" s="55">
        <f>COUNTA(tblFebruary[[#This Row],[1]:[29]])</f>
        <v>0</v>
      </c>
    </row>
    <row r="8" spans="1:34" ht="15" customHeight="1" x14ac:dyDescent="0.25">
      <c r="A8" s="60" t="s">
        <v>148</v>
      </c>
      <c r="B8" s="59"/>
      <c r="C8" s="59"/>
      <c r="D8" s="59" t="s">
        <v>142</v>
      </c>
      <c r="E8" s="59"/>
      <c r="F8" s="59"/>
      <c r="G8" s="59"/>
      <c r="H8" s="59"/>
      <c r="I8" s="59"/>
      <c r="J8" s="59"/>
      <c r="K8" s="59"/>
      <c r="L8" s="59"/>
      <c r="M8" s="59"/>
      <c r="N8" s="59"/>
      <c r="O8" s="59" t="s">
        <v>142</v>
      </c>
      <c r="P8" s="59"/>
      <c r="Q8" s="59"/>
      <c r="R8" s="59"/>
      <c r="S8" s="59" t="s">
        <v>143</v>
      </c>
      <c r="T8" s="59"/>
      <c r="U8" s="59"/>
      <c r="V8" s="59"/>
      <c r="W8" s="59"/>
      <c r="X8" s="59"/>
      <c r="Y8" s="59"/>
      <c r="Z8" s="59"/>
      <c r="AA8" s="59"/>
      <c r="AB8" s="59"/>
      <c r="AC8" s="59" t="s">
        <v>142</v>
      </c>
      <c r="AD8" s="59"/>
      <c r="AE8" s="59"/>
      <c r="AF8" s="59"/>
      <c r="AG8" s="55">
        <f>COUNTA(tblFebruary[[#This Row],[1]:[29]])</f>
        <v>4</v>
      </c>
    </row>
    <row r="9" spans="1:34" s="39" customFormat="1" ht="15" customHeight="1" x14ac:dyDescent="0.25">
      <c r="A9" s="60" t="s">
        <v>147</v>
      </c>
      <c r="B9" s="59"/>
      <c r="C9" s="59"/>
      <c r="D9" s="59"/>
      <c r="E9" s="59"/>
      <c r="F9" s="59"/>
      <c r="G9" s="59"/>
      <c r="H9" s="59"/>
      <c r="I9" s="59" t="s">
        <v>145</v>
      </c>
      <c r="J9" s="59" t="s">
        <v>145</v>
      </c>
      <c r="K9" s="59" t="s">
        <v>145</v>
      </c>
      <c r="L9" s="59" t="s">
        <v>145</v>
      </c>
      <c r="M9" s="59"/>
      <c r="N9" s="59"/>
      <c r="O9" s="59"/>
      <c r="P9" s="59"/>
      <c r="Q9" s="59"/>
      <c r="R9" s="59"/>
      <c r="S9" s="59"/>
      <c r="T9" s="59"/>
      <c r="U9" s="59"/>
      <c r="V9" s="59"/>
      <c r="W9" s="59"/>
      <c r="X9" s="59"/>
      <c r="Y9" s="59" t="s">
        <v>142</v>
      </c>
      <c r="Z9" s="59"/>
      <c r="AA9" s="59"/>
      <c r="AB9" s="59"/>
      <c r="AC9" s="59"/>
      <c r="AD9" s="59"/>
      <c r="AE9" s="59"/>
      <c r="AF9" s="59"/>
      <c r="AG9" s="55">
        <f>COUNTA(tblFebruary[[#This Row],[1]:[29]])</f>
        <v>5</v>
      </c>
    </row>
    <row r="10" spans="1:34" ht="15" customHeight="1" x14ac:dyDescent="0.25">
      <c r="A10" s="56" t="str">
        <f>MonthName&amp;" Total"</f>
        <v>February Total</v>
      </c>
      <c r="B10" s="55">
        <f>SUBTOTAL(103,tblFebruary[1])</f>
        <v>0</v>
      </c>
      <c r="C10" s="55">
        <f>SUBTOTAL(103,tblFebruary[2])</f>
        <v>0</v>
      </c>
      <c r="D10" s="55">
        <f>SUBTOTAL(103,tblFebruary[3])</f>
        <v>2</v>
      </c>
      <c r="E10" s="55">
        <f>SUBTOTAL(103,tblFebruary[4])</f>
        <v>1</v>
      </c>
      <c r="F10" s="55">
        <f>SUBTOTAL(103,tblFebruary[5])</f>
        <v>2</v>
      </c>
      <c r="G10" s="55">
        <f>SUBTOTAL(103,tblFebruary[6])</f>
        <v>2</v>
      </c>
      <c r="H10" s="55">
        <f>SUBTOTAL(103,tblFebruary[7])</f>
        <v>0</v>
      </c>
      <c r="I10" s="55">
        <f>SUBTOTAL(103,tblFebruary[8])</f>
        <v>1</v>
      </c>
      <c r="J10" s="55">
        <f>SUBTOTAL(103,tblFebruary[9])</f>
        <v>1</v>
      </c>
      <c r="K10" s="55">
        <f>SUBTOTAL(103,tblFebruary[10])</f>
        <v>1</v>
      </c>
      <c r="L10" s="55">
        <f>SUBTOTAL(103,tblFebruary[11])</f>
        <v>2</v>
      </c>
      <c r="M10" s="55">
        <f>SUBTOTAL(103,tblFebruary[12])</f>
        <v>0</v>
      </c>
      <c r="N10" s="55">
        <f>SUBTOTAL(103,tblFebruary[13])</f>
        <v>1</v>
      </c>
      <c r="O10" s="55">
        <f>SUBTOTAL(103,tblFebruary[14])</f>
        <v>1</v>
      </c>
      <c r="P10" s="55">
        <f>SUBTOTAL(103,tblFebruary[15])</f>
        <v>0</v>
      </c>
      <c r="Q10" s="55">
        <f>SUBTOTAL(103,tblFebruary[16])</f>
        <v>0</v>
      </c>
      <c r="R10" s="55">
        <f>SUBTOTAL(103,tblFebruary[17])</f>
        <v>0</v>
      </c>
      <c r="S10" s="55">
        <f>SUBTOTAL(103,tblFebruary[18])</f>
        <v>1</v>
      </c>
      <c r="T10" s="55">
        <f>SUBTOTAL(103,tblFebruary[19])</f>
        <v>0</v>
      </c>
      <c r="U10" s="55">
        <f>SUBTOTAL(103,tblFebruary[20])</f>
        <v>1</v>
      </c>
      <c r="V10" s="55">
        <f>SUBTOTAL(103,tblFebruary[21])</f>
        <v>0</v>
      </c>
      <c r="W10" s="55">
        <f>SUBTOTAL(103,tblFebruary[22])</f>
        <v>0</v>
      </c>
      <c r="X10" s="55">
        <f>SUBTOTAL(103,tblFebruary[23])</f>
        <v>0</v>
      </c>
      <c r="Y10" s="55">
        <f>SUBTOTAL(103,tblFebruary[24])</f>
        <v>1</v>
      </c>
      <c r="Z10" s="55">
        <f>SUBTOTAL(103,tblFebruary[25])</f>
        <v>1</v>
      </c>
      <c r="AA10" s="55">
        <f>SUBTOTAL(103,tblFebruary[26])</f>
        <v>1</v>
      </c>
      <c r="AB10" s="55">
        <f>SUBTOTAL(103,tblFebruary[27])</f>
        <v>1</v>
      </c>
      <c r="AC10" s="55">
        <f>SUBTOTAL(103,tblFebruary[28])</f>
        <v>1</v>
      </c>
      <c r="AD10" s="55">
        <f>SUBTOTAL(103,tblFebruary[29])</f>
        <v>0</v>
      </c>
      <c r="AE10" s="55"/>
      <c r="AF10" s="55"/>
      <c r="AG10" s="55">
        <f>SUBTOTAL(109,tblFebruary[Total Days])</f>
        <v>21</v>
      </c>
    </row>
    <row r="11" spans="1:34" ht="15" customHeight="1" x14ac:dyDescent="0.25">
      <c r="A11" s="81"/>
      <c r="B11" s="81"/>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row>
    <row r="12" spans="1:34" ht="15" customHeight="1" x14ac:dyDescent="0.25">
      <c r="A12" s="42"/>
      <c r="B12" s="52" t="str">
        <f>January!B12</f>
        <v>Color Key</v>
      </c>
      <c r="C12" s="52"/>
      <c r="D12" s="52"/>
      <c r="E12" s="52"/>
      <c r="F12" s="51"/>
      <c r="G12" s="50" t="str">
        <f>KeyVacation</f>
        <v>V</v>
      </c>
      <c r="H12" s="45" t="str">
        <f>KeyVacationLabel</f>
        <v>Vacation</v>
      </c>
      <c r="I12" s="44"/>
      <c r="J12" s="44"/>
      <c r="K12" s="49" t="str">
        <f>KeyPersonal</f>
        <v>P</v>
      </c>
      <c r="L12" s="45" t="str">
        <f>KeyPersonalLabel</f>
        <v>Personal</v>
      </c>
      <c r="M12" s="44"/>
      <c r="N12" s="44"/>
      <c r="O12" s="48" t="str">
        <f>KeySick</f>
        <v>S</v>
      </c>
      <c r="P12" s="45" t="str">
        <f>KeySickLabel</f>
        <v>Sick</v>
      </c>
      <c r="Q12" s="44"/>
      <c r="R12" s="44"/>
      <c r="S12" s="47">
        <f>KeyCustom1</f>
        <v>0</v>
      </c>
      <c r="T12" s="45" t="str">
        <f>KeyCustom1Label</f>
        <v>Custom 1</v>
      </c>
      <c r="U12" s="43"/>
      <c r="V12" s="44"/>
      <c r="W12" s="46">
        <f>KeyCustom2</f>
        <v>0</v>
      </c>
      <c r="X12" s="45" t="str">
        <f>KeyCustom2Label</f>
        <v>Custom 2</v>
      </c>
      <c r="Y12" s="44"/>
      <c r="Z12" s="43"/>
    </row>
  </sheetData>
  <mergeCells count="4">
    <mergeCell ref="B2:AF2"/>
    <mergeCell ref="A11:AG11"/>
    <mergeCell ref="A2:A3"/>
    <mergeCell ref="AG2:AG3"/>
  </mergeCells>
  <conditionalFormatting sqref="AD4">
    <cfRule type="expression" dxfId="21" priority="8">
      <formula>MONTH(DATE(CalendarYear,2,29))&lt;&gt;2</formula>
    </cfRule>
  </conditionalFormatting>
  <conditionalFormatting sqref="AD3">
    <cfRule type="expression" dxfId="20" priority="7">
      <formula>MONTH(DATE(CalendarYear,2,29))&lt;&gt;2</formula>
    </cfRule>
  </conditionalFormatting>
  <conditionalFormatting sqref="B5:AF9">
    <cfRule type="expression" priority="1" stopIfTrue="1">
      <formula>B5=""</formula>
    </cfRule>
  </conditionalFormatting>
  <conditionalFormatting sqref="B5:AF9">
    <cfRule type="expression" dxfId="19" priority="2" stopIfTrue="1">
      <formula>B5=KeyCustom2</formula>
    </cfRule>
    <cfRule type="expression" dxfId="18" priority="3" stopIfTrue="1">
      <formula>B5=KeyCustom1</formula>
    </cfRule>
    <cfRule type="expression" dxfId="17" priority="4" stopIfTrue="1">
      <formula>B5=KeySick</formula>
    </cfRule>
    <cfRule type="expression" dxfId="16" priority="5" stopIfTrue="1">
      <formula>B5=KeyPersonal</formula>
    </cfRule>
    <cfRule type="expression" dxfId="15" priority="6" stopIfTrue="1">
      <formula>B5=KeyVacation</formula>
    </cfRule>
  </conditionalFormatting>
  <conditionalFormatting sqref="AG5:AG9">
    <cfRule type="dataBar" priority="9">
      <dataBar>
        <cfvo type="min"/>
        <cfvo type="formula" val="DATEDIF(DATE(CalendarYear,2,1),DATE(CalendarYear,3,1),&quot;d&quot;)"/>
        <color theme="2" tint="-0.249977111117893"/>
      </dataBar>
      <extLst>
        <ext xmlns:x14="http://schemas.microsoft.com/office/spreadsheetml/2009/9/main" uri="{B025F937-C7B1-47D3-B67F-A62EFF666E3E}">
          <x14:id>{26561F00-37F7-406C-AC51-C77F8F1B97F3}</x14:id>
        </ext>
      </extLst>
    </cfRule>
  </conditionalFormatting>
  <pageMargins left="0.25" right="0.25" top="0.75" bottom="0.75" header="0.3" footer="0.3"/>
  <pageSetup scale="80" fitToHeight="0" orientation="landscape"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26561F00-37F7-406C-AC51-C77F8F1B97F3}">
            <x14:dataBar minLength="0" maxLength="100">
              <x14:cfvo type="autoMin"/>
              <x14:cfvo type="formula">
                <xm:f>DATEDIF(DATE(CalendarYear,2,1),DATE(CalendarYear,3,1),"d")</xm:f>
              </x14:cfvo>
              <x14:negativeFillColor rgb="FFFF0000"/>
              <x14:axisColor rgb="FF000000"/>
            </x14:dataBar>
          </x14:cfRule>
          <xm:sqref>AG5:AG9</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50"/>
  <sheetViews>
    <sheetView showGridLines="0" zoomScaleNormal="100" workbookViewId="0">
      <selection activeCell="B6" sqref="B6:C6"/>
    </sheetView>
  </sheetViews>
  <sheetFormatPr defaultRowHeight="12.75" x14ac:dyDescent="0.2"/>
  <cols>
    <col min="1" max="1" width="12.42578125" style="228" customWidth="1"/>
    <col min="2" max="2" width="12" style="228" customWidth="1"/>
    <col min="3" max="3" width="25.28515625" style="228" customWidth="1"/>
    <col min="4" max="4" width="11.5703125" style="228" customWidth="1"/>
    <col min="5" max="5" width="11.140625" style="228" customWidth="1"/>
    <col min="6" max="7" width="9.140625" style="228"/>
    <col min="8" max="8" width="9" style="228" customWidth="1"/>
    <col min="9" max="9" width="11.140625" style="228" customWidth="1"/>
    <col min="10" max="10" width="12.5703125" style="228" bestFit="1" customWidth="1"/>
    <col min="11" max="11" width="13.85546875" style="228" customWidth="1"/>
    <col min="12" max="16384" width="9.140625" style="228"/>
  </cols>
  <sheetData>
    <row r="1" spans="1:12" ht="13.5" customHeight="1" x14ac:dyDescent="0.2">
      <c r="A1" s="236"/>
      <c r="B1" s="236"/>
      <c r="C1" s="236"/>
      <c r="D1" s="236"/>
      <c r="E1" s="236"/>
      <c r="F1" s="236"/>
      <c r="G1" s="236"/>
      <c r="H1" s="294" t="s">
        <v>322</v>
      </c>
      <c r="I1" s="293"/>
      <c r="J1" s="292"/>
      <c r="K1" s="291"/>
      <c r="L1" s="231"/>
    </row>
    <row r="2" spans="1:12" x14ac:dyDescent="0.2">
      <c r="A2" s="287"/>
      <c r="B2" s="287"/>
      <c r="C2" s="287"/>
      <c r="D2" s="287"/>
      <c r="E2" s="287"/>
      <c r="F2" s="287"/>
      <c r="G2" s="287"/>
      <c r="H2" s="287"/>
      <c r="I2" s="290"/>
      <c r="J2" s="290"/>
      <c r="K2" s="290"/>
      <c r="L2" s="231"/>
    </row>
    <row r="3" spans="1:12" ht="26.25" x14ac:dyDescent="0.4">
      <c r="A3" s="289" t="s">
        <v>321</v>
      </c>
      <c r="B3" s="288"/>
      <c r="C3" s="288"/>
      <c r="D3" s="287"/>
      <c r="E3" s="287"/>
      <c r="F3" s="287"/>
      <c r="G3" s="287"/>
      <c r="H3" s="287"/>
      <c r="I3" s="287"/>
      <c r="J3" s="287"/>
      <c r="K3" s="287"/>
      <c r="L3" s="231"/>
    </row>
    <row r="4" spans="1:12" x14ac:dyDescent="0.2">
      <c r="A4" s="236"/>
      <c r="B4" s="236"/>
      <c r="C4" s="236"/>
      <c r="D4" s="231"/>
      <c r="E4" s="231"/>
      <c r="F4" s="231"/>
      <c r="G4" s="231"/>
      <c r="H4" s="236"/>
      <c r="I4" s="231"/>
      <c r="J4" s="231"/>
      <c r="K4" s="231"/>
      <c r="L4" s="231"/>
    </row>
    <row r="5" spans="1:12" ht="18.75" customHeight="1" x14ac:dyDescent="0.2">
      <c r="A5" s="286" t="s">
        <v>320</v>
      </c>
      <c r="B5" s="286"/>
      <c r="C5" s="236"/>
      <c r="D5" s="236"/>
      <c r="E5" s="236"/>
      <c r="F5" s="236"/>
      <c r="G5" s="236"/>
      <c r="H5" s="231"/>
      <c r="I5" s="231"/>
      <c r="J5" s="285" t="s">
        <v>319</v>
      </c>
      <c r="K5" s="236"/>
      <c r="L5" s="231"/>
    </row>
    <row r="6" spans="1:12" ht="15.75" customHeight="1" x14ac:dyDescent="0.2">
      <c r="A6" s="272" t="s">
        <v>318</v>
      </c>
      <c r="B6" s="284"/>
      <c r="C6" s="284"/>
      <c r="D6" s="279" t="s">
        <v>317</v>
      </c>
      <c r="E6" s="284"/>
      <c r="F6" s="284"/>
      <c r="G6" s="236"/>
      <c r="H6" s="236"/>
      <c r="I6" s="236"/>
      <c r="J6" s="283" t="s">
        <v>316</v>
      </c>
      <c r="K6" s="282">
        <f>MIN(A12:A21)</f>
        <v>0</v>
      </c>
      <c r="L6" s="231"/>
    </row>
    <row r="7" spans="1:12" ht="15.75" customHeight="1" x14ac:dyDescent="0.2">
      <c r="A7" s="272" t="s">
        <v>315</v>
      </c>
      <c r="B7" s="281"/>
      <c r="C7" s="280"/>
      <c r="D7" s="279" t="s">
        <v>314</v>
      </c>
      <c r="E7" s="278"/>
      <c r="F7" s="278"/>
      <c r="G7" s="236"/>
      <c r="H7" s="236"/>
      <c r="I7" s="236"/>
      <c r="J7" s="277" t="s">
        <v>313</v>
      </c>
      <c r="K7" s="276">
        <f>MAX(A12:A21)</f>
        <v>0</v>
      </c>
      <c r="L7" s="231"/>
    </row>
    <row r="8" spans="1:12" ht="15.75" customHeight="1" x14ac:dyDescent="0.2">
      <c r="A8" s="272" t="s">
        <v>312</v>
      </c>
      <c r="B8" s="275"/>
      <c r="C8" s="275"/>
      <c r="D8" s="272"/>
      <c r="E8" s="274"/>
      <c r="F8" s="274"/>
      <c r="G8" s="236"/>
      <c r="H8" s="236"/>
      <c r="I8" s="236"/>
      <c r="J8" s="236"/>
      <c r="K8" s="236"/>
      <c r="L8" s="231"/>
    </row>
    <row r="9" spans="1:12" x14ac:dyDescent="0.2">
      <c r="A9" s="272"/>
      <c r="B9" s="273"/>
      <c r="C9" s="273"/>
      <c r="D9" s="272"/>
      <c r="E9" s="271"/>
      <c r="F9" s="271"/>
      <c r="G9" s="236"/>
      <c r="H9" s="236"/>
      <c r="I9" s="236"/>
      <c r="J9" s="236"/>
      <c r="K9" s="231"/>
      <c r="L9" s="231"/>
    </row>
    <row r="10" spans="1:12" ht="15" customHeight="1" x14ac:dyDescent="0.2">
      <c r="A10" s="236"/>
      <c r="B10" s="236"/>
      <c r="C10" s="236"/>
      <c r="D10" s="236"/>
      <c r="E10" s="236"/>
      <c r="F10" s="236"/>
      <c r="G10" s="236"/>
      <c r="H10" s="236"/>
      <c r="I10" s="236"/>
      <c r="J10" s="236"/>
      <c r="K10" s="236"/>
      <c r="L10" s="231"/>
    </row>
    <row r="11" spans="1:12" s="269" customFormat="1" ht="15" customHeight="1" x14ac:dyDescent="0.2">
      <c r="A11" s="270" t="s">
        <v>311</v>
      </c>
      <c r="B11" s="270" t="s">
        <v>310</v>
      </c>
      <c r="C11" s="270" t="s">
        <v>309</v>
      </c>
      <c r="D11" s="270" t="s">
        <v>102</v>
      </c>
      <c r="E11" s="270" t="s">
        <v>308</v>
      </c>
      <c r="F11" s="270" t="s">
        <v>56</v>
      </c>
      <c r="G11" s="270" t="s">
        <v>307</v>
      </c>
      <c r="H11" s="270" t="s">
        <v>69</v>
      </c>
      <c r="I11" s="270" t="s">
        <v>306</v>
      </c>
      <c r="J11" s="270" t="s">
        <v>305</v>
      </c>
      <c r="K11" s="270" t="s">
        <v>302</v>
      </c>
      <c r="L11" s="231"/>
    </row>
    <row r="12" spans="1:12" ht="15" customHeight="1" x14ac:dyDescent="0.2">
      <c r="A12" s="265"/>
      <c r="B12" s="264"/>
      <c r="C12" s="263"/>
      <c r="D12" s="267"/>
      <c r="E12" s="267"/>
      <c r="F12" s="268"/>
      <c r="G12" s="267"/>
      <c r="H12" s="267"/>
      <c r="I12" s="267"/>
      <c r="J12" s="267"/>
      <c r="K12" s="266">
        <f>SUM(D12:J12)</f>
        <v>0</v>
      </c>
      <c r="L12" s="231"/>
    </row>
    <row r="13" spans="1:12" ht="15" customHeight="1" x14ac:dyDescent="0.2">
      <c r="A13" s="265"/>
      <c r="B13" s="264"/>
      <c r="C13" s="263"/>
      <c r="D13" s="261"/>
      <c r="E13" s="261"/>
      <c r="F13" s="262"/>
      <c r="G13" s="261"/>
      <c r="H13" s="261"/>
      <c r="I13" s="261"/>
      <c r="J13" s="261"/>
      <c r="K13" s="260">
        <f>SUM(D13:J13)</f>
        <v>0</v>
      </c>
      <c r="L13" s="231"/>
    </row>
    <row r="14" spans="1:12" ht="15" customHeight="1" x14ac:dyDescent="0.2">
      <c r="A14" s="265"/>
      <c r="B14" s="264"/>
      <c r="C14" s="263"/>
      <c r="D14" s="261"/>
      <c r="E14" s="261"/>
      <c r="F14" s="262"/>
      <c r="G14" s="261"/>
      <c r="H14" s="261"/>
      <c r="I14" s="261"/>
      <c r="J14" s="261"/>
      <c r="K14" s="260">
        <f>SUM(D14:J14)</f>
        <v>0</v>
      </c>
      <c r="L14" s="231"/>
    </row>
    <row r="15" spans="1:12" ht="15" customHeight="1" x14ac:dyDescent="0.2">
      <c r="A15" s="265"/>
      <c r="B15" s="264"/>
      <c r="C15" s="263"/>
      <c r="D15" s="261"/>
      <c r="E15" s="261"/>
      <c r="F15" s="262"/>
      <c r="G15" s="261"/>
      <c r="H15" s="261"/>
      <c r="I15" s="261"/>
      <c r="J15" s="261"/>
      <c r="K15" s="260">
        <f>SUM(D15:J15)</f>
        <v>0</v>
      </c>
      <c r="L15" s="231"/>
    </row>
    <row r="16" spans="1:12" ht="15" customHeight="1" x14ac:dyDescent="0.2">
      <c r="A16" s="265"/>
      <c r="B16" s="264"/>
      <c r="C16" s="263"/>
      <c r="D16" s="261"/>
      <c r="E16" s="261"/>
      <c r="F16" s="262"/>
      <c r="G16" s="261"/>
      <c r="H16" s="261"/>
      <c r="I16" s="261"/>
      <c r="J16" s="261"/>
      <c r="K16" s="260">
        <f>SUM(D16:J16)</f>
        <v>0</v>
      </c>
      <c r="L16" s="231"/>
    </row>
    <row r="17" spans="1:12" ht="15" customHeight="1" x14ac:dyDescent="0.2">
      <c r="A17" s="265"/>
      <c r="B17" s="264"/>
      <c r="C17" s="263"/>
      <c r="D17" s="261"/>
      <c r="E17" s="261"/>
      <c r="F17" s="262"/>
      <c r="G17" s="261"/>
      <c r="H17" s="261"/>
      <c r="I17" s="261"/>
      <c r="J17" s="261"/>
      <c r="K17" s="260">
        <f>SUM(D17:J17)</f>
        <v>0</v>
      </c>
      <c r="L17" s="231"/>
    </row>
    <row r="18" spans="1:12" ht="15" customHeight="1" x14ac:dyDescent="0.2">
      <c r="A18" s="265"/>
      <c r="B18" s="264"/>
      <c r="C18" s="263"/>
      <c r="D18" s="261"/>
      <c r="E18" s="261"/>
      <c r="F18" s="262"/>
      <c r="G18" s="261"/>
      <c r="H18" s="261"/>
      <c r="I18" s="261"/>
      <c r="J18" s="261"/>
      <c r="K18" s="260">
        <f>SUM(D18:J18)</f>
        <v>0</v>
      </c>
      <c r="L18" s="231"/>
    </row>
    <row r="19" spans="1:12" ht="15" customHeight="1" x14ac:dyDescent="0.2">
      <c r="A19" s="265"/>
      <c r="B19" s="264"/>
      <c r="C19" s="263"/>
      <c r="D19" s="261"/>
      <c r="E19" s="261"/>
      <c r="F19" s="262"/>
      <c r="G19" s="261"/>
      <c r="H19" s="261"/>
      <c r="I19" s="261"/>
      <c r="J19" s="261"/>
      <c r="K19" s="260">
        <f>SUM(D19:J19)</f>
        <v>0</v>
      </c>
      <c r="L19" s="231"/>
    </row>
    <row r="20" spans="1:12" ht="15" customHeight="1" x14ac:dyDescent="0.2">
      <c r="A20" s="265"/>
      <c r="B20" s="264"/>
      <c r="C20" s="263"/>
      <c r="D20" s="261"/>
      <c r="E20" s="261"/>
      <c r="F20" s="262"/>
      <c r="G20" s="261"/>
      <c r="H20" s="261"/>
      <c r="I20" s="261"/>
      <c r="J20" s="261"/>
      <c r="K20" s="260">
        <f>SUM(D20:J20)</f>
        <v>0</v>
      </c>
      <c r="L20" s="231"/>
    </row>
    <row r="21" spans="1:12" ht="15" customHeight="1" x14ac:dyDescent="0.2">
      <c r="A21" s="265"/>
      <c r="B21" s="264"/>
      <c r="C21" s="263"/>
      <c r="D21" s="261"/>
      <c r="E21" s="261"/>
      <c r="F21" s="262"/>
      <c r="G21" s="261"/>
      <c r="H21" s="261"/>
      <c r="I21" s="261"/>
      <c r="J21" s="261"/>
      <c r="K21" s="260">
        <f>SUM(D21:J21)</f>
        <v>0</v>
      </c>
      <c r="L21" s="231"/>
    </row>
    <row r="22" spans="1:12" ht="15" customHeight="1" x14ac:dyDescent="0.2">
      <c r="A22" s="259"/>
      <c r="B22" s="259"/>
      <c r="C22" s="258"/>
      <c r="D22" s="256">
        <f>SUBTOTAL(109,Table1[Hotel])</f>
        <v>0</v>
      </c>
      <c r="E22" s="256">
        <f>SUBTOTAL(109,Table1[Transport])</f>
        <v>0</v>
      </c>
      <c r="F22" s="257">
        <f>SUBTOTAL(109,Table1[Fuel])</f>
        <v>0</v>
      </c>
      <c r="G22" s="256">
        <f>SUBTOTAL(109,Table1[Meals])</f>
        <v>0</v>
      </c>
      <c r="H22" s="256">
        <f>SUBTOTAL(109,Table1[Phone])</f>
        <v>0</v>
      </c>
      <c r="I22" s="256">
        <f>SUBTOTAL(109,Table1[Entertain.])</f>
        <v>0</v>
      </c>
      <c r="J22" s="256">
        <f>SUBTOTAL(109,Table1[Misc.])</f>
        <v>0</v>
      </c>
      <c r="K22" s="255"/>
      <c r="L22" s="231"/>
    </row>
    <row r="23" spans="1:12" ht="15" customHeight="1" x14ac:dyDescent="0.2">
      <c r="A23" s="231"/>
      <c r="B23" s="231"/>
      <c r="C23" s="231"/>
      <c r="D23" s="231"/>
      <c r="E23" s="231"/>
      <c r="F23" s="231"/>
      <c r="G23" s="231"/>
      <c r="H23" s="231"/>
      <c r="I23" s="254" t="s">
        <v>304</v>
      </c>
      <c r="J23" s="254"/>
      <c r="K23" s="253">
        <f>SUM(K12:K21)</f>
        <v>0</v>
      </c>
      <c r="L23" s="231"/>
    </row>
    <row r="24" spans="1:12" ht="15" customHeight="1" x14ac:dyDescent="0.2">
      <c r="A24" s="231"/>
      <c r="B24" s="231"/>
      <c r="C24" s="231"/>
      <c r="D24" s="231"/>
      <c r="E24" s="231"/>
      <c r="F24" s="231"/>
      <c r="G24" s="231"/>
      <c r="H24" s="231"/>
      <c r="I24" s="251" t="s">
        <v>303</v>
      </c>
      <c r="J24" s="251"/>
      <c r="K24" s="252"/>
      <c r="L24" s="231"/>
    </row>
    <row r="25" spans="1:12" ht="15" customHeight="1" x14ac:dyDescent="0.2">
      <c r="A25" s="231"/>
      <c r="B25" s="231"/>
      <c r="C25" s="231"/>
      <c r="D25" s="231"/>
      <c r="E25" s="231"/>
      <c r="F25" s="231"/>
      <c r="G25" s="231"/>
      <c r="H25" s="231"/>
      <c r="I25" s="251" t="s">
        <v>302</v>
      </c>
      <c r="J25" s="250"/>
      <c r="K25" s="249">
        <f>(K23-K24)</f>
        <v>0</v>
      </c>
      <c r="L25" s="231"/>
    </row>
    <row r="26" spans="1:12" ht="15" customHeight="1" x14ac:dyDescent="0.2">
      <c r="A26" s="248" t="s">
        <v>301</v>
      </c>
      <c r="B26" s="247"/>
      <c r="C26" s="246" t="s">
        <v>300</v>
      </c>
      <c r="D26" s="245"/>
      <c r="E26" s="231"/>
      <c r="F26" s="231"/>
      <c r="G26" s="231"/>
      <c r="H26" s="231"/>
      <c r="I26" s="231"/>
      <c r="J26" s="231"/>
      <c r="K26" s="231"/>
      <c r="L26" s="231"/>
    </row>
    <row r="27" spans="1:12" ht="15" customHeight="1" x14ac:dyDescent="0.2">
      <c r="A27" s="244"/>
      <c r="B27" s="243"/>
      <c r="C27" s="237"/>
      <c r="D27" s="242"/>
      <c r="E27" s="231"/>
      <c r="F27" s="231"/>
      <c r="G27" s="231"/>
      <c r="H27" s="231"/>
      <c r="I27" s="231"/>
      <c r="J27" s="231"/>
      <c r="K27" s="231"/>
      <c r="L27" s="231"/>
    </row>
    <row r="28" spans="1:12" ht="15" customHeight="1" x14ac:dyDescent="0.2">
      <c r="A28" s="244"/>
      <c r="B28" s="243"/>
      <c r="C28" s="237"/>
      <c r="D28" s="242"/>
      <c r="E28" s="231"/>
      <c r="F28" s="231"/>
      <c r="G28" s="231"/>
      <c r="H28" s="231"/>
      <c r="I28" s="231"/>
      <c r="J28" s="231"/>
      <c r="K28" s="231"/>
      <c r="L28" s="231"/>
    </row>
    <row r="29" spans="1:12" ht="15" customHeight="1" x14ac:dyDescent="0.2">
      <c r="A29" s="244"/>
      <c r="B29" s="243"/>
      <c r="C29" s="237"/>
      <c r="D29" s="242"/>
      <c r="E29" s="236"/>
      <c r="F29" s="236"/>
      <c r="G29" s="236"/>
      <c r="H29" s="236"/>
      <c r="I29" s="236"/>
      <c r="J29" s="236"/>
      <c r="K29" s="236"/>
      <c r="L29" s="231"/>
    </row>
    <row r="30" spans="1:12" ht="15" customHeight="1" x14ac:dyDescent="0.2">
      <c r="A30" s="241"/>
      <c r="B30" s="240"/>
      <c r="C30" s="239"/>
      <c r="D30" s="238"/>
      <c r="E30" s="236"/>
      <c r="F30" s="236"/>
      <c r="G30" s="236"/>
      <c r="H30" s="236"/>
      <c r="I30" s="236"/>
      <c r="J30" s="236"/>
      <c r="K30" s="236"/>
      <c r="L30" s="231"/>
    </row>
    <row r="31" spans="1:12" ht="15" customHeight="1" x14ac:dyDescent="0.2">
      <c r="A31" s="237"/>
      <c r="B31" s="237"/>
      <c r="C31" s="237"/>
      <c r="D31" s="237"/>
      <c r="E31" s="236"/>
      <c r="F31" s="236"/>
      <c r="G31" s="236"/>
      <c r="H31" s="236"/>
      <c r="I31" s="236"/>
      <c r="J31" s="236"/>
      <c r="K31" s="236"/>
      <c r="L31" s="231"/>
    </row>
    <row r="32" spans="1:12" ht="15" customHeight="1" x14ac:dyDescent="0.2">
      <c r="A32" s="235"/>
      <c r="B32" s="235"/>
      <c r="C32" s="235"/>
      <c r="D32" s="235"/>
      <c r="E32" s="235"/>
      <c r="F32" s="235"/>
      <c r="G32" s="235"/>
      <c r="H32" s="235"/>
      <c r="I32" s="235"/>
      <c r="J32" s="235"/>
      <c r="K32" s="235"/>
      <c r="L32" s="231"/>
    </row>
    <row r="33" spans="1:12" ht="15" customHeight="1" x14ac:dyDescent="0.2">
      <c r="A33" s="234" t="s">
        <v>299</v>
      </c>
      <c r="B33" s="232"/>
      <c r="C33" s="232"/>
      <c r="D33" s="232"/>
      <c r="E33" s="231"/>
      <c r="F33" s="231"/>
      <c r="G33" s="231"/>
      <c r="H33" s="233"/>
      <c r="I33" s="233"/>
      <c r="J33" s="233"/>
      <c r="K33" s="233"/>
      <c r="L33" s="231"/>
    </row>
    <row r="34" spans="1:12" ht="15" customHeight="1" x14ac:dyDescent="0.2">
      <c r="A34" s="232"/>
      <c r="B34" s="232"/>
      <c r="C34" s="232"/>
      <c r="D34" s="232"/>
      <c r="E34" s="231"/>
      <c r="F34" s="231"/>
      <c r="G34" s="231"/>
      <c r="H34" s="230"/>
      <c r="I34" s="230"/>
      <c r="J34" s="230"/>
      <c r="K34" s="230"/>
    </row>
    <row r="35" spans="1:12" ht="15" customHeight="1" x14ac:dyDescent="0.2">
      <c r="A35" s="229"/>
      <c r="B35" s="229"/>
      <c r="C35" s="229"/>
      <c r="D35" s="229"/>
    </row>
    <row r="36" spans="1:12" ht="15" customHeight="1" x14ac:dyDescent="0.2">
      <c r="A36" s="229"/>
      <c r="B36" s="229"/>
      <c r="C36" s="229"/>
      <c r="D36" s="229"/>
    </row>
    <row r="37" spans="1:12" ht="15" customHeight="1" x14ac:dyDescent="0.2"/>
    <row r="38" spans="1:12" ht="15" customHeight="1" x14ac:dyDescent="0.2"/>
    <row r="39" spans="1:12" ht="15" customHeight="1" x14ac:dyDescent="0.2"/>
    <row r="40" spans="1:12" ht="15" customHeight="1" x14ac:dyDescent="0.2"/>
    <row r="41" spans="1:12" ht="15" customHeight="1" x14ac:dyDescent="0.2"/>
    <row r="42" spans="1:12" ht="15" customHeight="1" x14ac:dyDescent="0.2"/>
    <row r="43" spans="1:12" ht="15" customHeight="1" x14ac:dyDescent="0.2"/>
    <row r="44" spans="1:12" ht="15" customHeight="1" x14ac:dyDescent="0.2"/>
    <row r="45" spans="1:12" ht="15" customHeight="1" x14ac:dyDescent="0.2"/>
    <row r="46" spans="1:12" ht="15" customHeight="1" x14ac:dyDescent="0.2"/>
    <row r="47" spans="1:12" ht="15" customHeight="1" x14ac:dyDescent="0.2"/>
    <row r="48" spans="1:12" ht="15" customHeight="1" x14ac:dyDescent="0.2"/>
    <row r="49" ht="15" customHeight="1" x14ac:dyDescent="0.2"/>
    <row r="50" ht="15" customHeight="1" x14ac:dyDescent="0.2"/>
  </sheetData>
  <sheetProtection formatCells="0" formatColumns="0" formatRows="0" insertColumns="0" insertRows="0" insertHyperlinks="0" deleteColumns="0" deleteRows="0" sort="0" autoFilter="0" pivotTables="0"/>
  <mergeCells count="27">
    <mergeCell ref="B8:C8"/>
    <mergeCell ref="E6:F6"/>
    <mergeCell ref="E7:F7"/>
    <mergeCell ref="A3:C3"/>
    <mergeCell ref="A5:B5"/>
    <mergeCell ref="C30:D30"/>
    <mergeCell ref="A27:B27"/>
    <mergeCell ref="A28:B28"/>
    <mergeCell ref="A29:B29"/>
    <mergeCell ref="C27:D27"/>
    <mergeCell ref="C28:D28"/>
    <mergeCell ref="H1:I1"/>
    <mergeCell ref="B6:C6"/>
    <mergeCell ref="B7:C7"/>
    <mergeCell ref="H33:K33"/>
    <mergeCell ref="H34:K34"/>
    <mergeCell ref="A31:B31"/>
    <mergeCell ref="A30:B30"/>
    <mergeCell ref="C31:D31"/>
    <mergeCell ref="A33:D33"/>
    <mergeCell ref="A34:D34"/>
    <mergeCell ref="C29:D29"/>
    <mergeCell ref="I23:J23"/>
    <mergeCell ref="I24:J24"/>
    <mergeCell ref="I25:J25"/>
    <mergeCell ref="A26:B26"/>
    <mergeCell ref="C26:D26"/>
  </mergeCells>
  <dataValidations count="1">
    <dataValidation type="date" operator="greaterThan" allowBlank="1" showInputMessage="1" showErrorMessage="1" errorTitle="Unrecognized Date" error="Please enter a date using the following format:_x000a__x000a_month/day/year_x000a__x000a_for example: 11/15/02" sqref="A12:A21">
      <formula1>367</formula1>
    </dataValidation>
  </dataValidations>
  <printOptions horizontalCentered="1"/>
  <pageMargins left="0.7" right="0.7" top="1" bottom="1" header="0.5" footer="0.5"/>
  <pageSetup scale="91" orientation="landscape" horizontalDpi="200" verticalDpi="200" r:id="rId1"/>
  <headerFooter alignWithMargins="0"/>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J52"/>
  <sheetViews>
    <sheetView showGridLines="0" tabSelected="1" zoomScaleNormal="100" workbookViewId="0"/>
  </sheetViews>
  <sheetFormatPr defaultRowHeight="15" x14ac:dyDescent="0.25"/>
  <cols>
    <col min="1" max="1" width="1.85546875" style="42" customWidth="1"/>
    <col min="2" max="2" width="33.28515625" style="42" customWidth="1"/>
    <col min="3" max="3" width="23.85546875" style="42" customWidth="1"/>
    <col min="4" max="4" width="22.85546875" style="42" customWidth="1"/>
    <col min="5" max="5" width="26.7109375" style="42" customWidth="1"/>
    <col min="6" max="16384" width="9.140625" style="42"/>
  </cols>
  <sheetData>
    <row r="1" spans="2:10" ht="12.75" customHeight="1" x14ac:dyDescent="0.25"/>
    <row r="2" spans="2:10" ht="20.25" thickBot="1" x14ac:dyDescent="0.35">
      <c r="B2" s="227" t="s">
        <v>298</v>
      </c>
      <c r="C2" s="227"/>
      <c r="D2" s="227"/>
      <c r="E2" s="227"/>
      <c r="F2" s="227"/>
      <c r="G2" s="227"/>
      <c r="H2" s="227"/>
      <c r="I2" s="227"/>
      <c r="J2" s="227"/>
    </row>
    <row r="3" spans="2:10" ht="15.75" thickTop="1" x14ac:dyDescent="0.25"/>
    <row r="39" spans="2:5" ht="20.25" thickBot="1" x14ac:dyDescent="0.35">
      <c r="B39" s="227" t="s">
        <v>297</v>
      </c>
      <c r="C39" s="227"/>
      <c r="D39" s="227"/>
      <c r="E39" s="227"/>
    </row>
    <row r="40" spans="2:5" ht="15.75" thickTop="1" x14ac:dyDescent="0.25"/>
    <row r="41" spans="2:5" ht="29.25" customHeight="1" x14ac:dyDescent="0.25">
      <c r="B41" s="226" t="s">
        <v>296</v>
      </c>
      <c r="C41" s="226" t="s">
        <v>295</v>
      </c>
      <c r="D41" s="42" t="s">
        <v>294</v>
      </c>
      <c r="E41" s="42" t="s">
        <v>293</v>
      </c>
    </row>
    <row r="42" spans="2:5" ht="20.100000000000001" customHeight="1" x14ac:dyDescent="0.25">
      <c r="B42" s="226" t="s">
        <v>292</v>
      </c>
      <c r="C42" s="225">
        <v>1325000</v>
      </c>
      <c r="D42" s="223">
        <f>tblData[[#This Row],[Annual Cost ]]/SUM(tblData[[Annual Cost ]])</f>
        <v>0.31172803199623572</v>
      </c>
      <c r="E42" s="223">
        <f>SUM(INDEX(tblData[Percent of Total],1):tblData[[#This Row],[Percent of Total]])</f>
        <v>0.31172803199623572</v>
      </c>
    </row>
    <row r="43" spans="2:5" ht="20.100000000000001" customHeight="1" x14ac:dyDescent="0.25">
      <c r="B43" s="226" t="s">
        <v>291</v>
      </c>
      <c r="C43" s="225">
        <v>900500</v>
      </c>
      <c r="D43" s="223">
        <f>tblData[[#This Row],[Annual Cost ]]/SUM(tblData[[Annual Cost ]])</f>
        <v>0.21185742853781908</v>
      </c>
      <c r="E43" s="223">
        <f>SUM(INDEX(tblData[Percent of Total],1):tblData[[#This Row],[Percent of Total]])</f>
        <v>0.52358546053405486</v>
      </c>
    </row>
    <row r="44" spans="2:5" ht="20.100000000000001" customHeight="1" x14ac:dyDescent="0.25">
      <c r="B44" s="226" t="s">
        <v>290</v>
      </c>
      <c r="C44" s="225">
        <v>575000</v>
      </c>
      <c r="D44" s="223">
        <f>tblData[[#This Row],[Annual Cost ]]/SUM(tblData[[Annual Cost ]])</f>
        <v>0.13527820256440418</v>
      </c>
      <c r="E44" s="223">
        <f>SUM(INDEX(tblData[Percent of Total],1):tblData[[#This Row],[Percent of Total]])</f>
        <v>0.65886366309845901</v>
      </c>
    </row>
    <row r="45" spans="2:5" ht="20.100000000000001" customHeight="1" x14ac:dyDescent="0.25">
      <c r="B45" s="226" t="s">
        <v>55</v>
      </c>
      <c r="C45" s="225">
        <v>395000</v>
      </c>
      <c r="D45" s="223">
        <f>tblData[[#This Row],[Annual Cost ]]/SUM(tblData[[Annual Cost ]])</f>
        <v>9.293024350076462E-2</v>
      </c>
      <c r="E45" s="223">
        <f>SUM(INDEX(tblData[Percent of Total],1):tblData[[#This Row],[Percent of Total]])</f>
        <v>0.75179390659922363</v>
      </c>
    </row>
    <row r="46" spans="2:5" ht="20.100000000000001" customHeight="1" x14ac:dyDescent="0.25">
      <c r="B46" s="226" t="s">
        <v>289</v>
      </c>
      <c r="C46" s="225">
        <v>295000</v>
      </c>
      <c r="D46" s="223">
        <f>tblData[[#This Row],[Annual Cost ]]/SUM(tblData[[Annual Cost ]])</f>
        <v>6.9403599576520411E-2</v>
      </c>
      <c r="E46" s="223">
        <f>SUM(INDEX(tblData[Percent of Total],1):tblData[[#This Row],[Percent of Total]])</f>
        <v>0.82119750617574405</v>
      </c>
    </row>
    <row r="47" spans="2:5" ht="20.100000000000001" customHeight="1" x14ac:dyDescent="0.25">
      <c r="B47" s="226" t="s">
        <v>288</v>
      </c>
      <c r="C47" s="225">
        <v>250000</v>
      </c>
      <c r="D47" s="223">
        <f>tblData[[#This Row],[Annual Cost ]]/SUM(tblData[[Annual Cost ]])</f>
        <v>5.8816609810610515E-2</v>
      </c>
      <c r="E47" s="223">
        <f>SUM(INDEX(tblData[Percent of Total],1):tblData[[#This Row],[Percent of Total]])</f>
        <v>0.88001411598635459</v>
      </c>
    </row>
    <row r="48" spans="2:5" ht="20.100000000000001" customHeight="1" x14ac:dyDescent="0.25">
      <c r="B48" s="226" t="s">
        <v>54</v>
      </c>
      <c r="C48" s="225">
        <v>180000</v>
      </c>
      <c r="D48" s="223">
        <f>tblData[[#This Row],[Annual Cost ]]/SUM(tblData[[Annual Cost ]])</f>
        <v>4.234795906363957E-2</v>
      </c>
      <c r="E48" s="223">
        <f>SUM(INDEX(tblData[Percent of Total],1):tblData[[#This Row],[Percent of Total]])</f>
        <v>0.92236207504999412</v>
      </c>
    </row>
    <row r="49" spans="2:5" ht="20.100000000000001" customHeight="1" x14ac:dyDescent="0.25">
      <c r="B49" s="226" t="s">
        <v>287</v>
      </c>
      <c r="C49" s="225">
        <v>130000</v>
      </c>
      <c r="D49" s="223">
        <f>tblData[[#This Row],[Annual Cost ]]/SUM(tblData[[Annual Cost ]])</f>
        <v>3.0584637101517469E-2</v>
      </c>
      <c r="E49" s="223">
        <f>SUM(INDEX(tblData[Percent of Total],1):tblData[[#This Row],[Percent of Total]])</f>
        <v>0.95294671215151161</v>
      </c>
    </row>
    <row r="50" spans="2:5" ht="20.100000000000001" customHeight="1" x14ac:dyDescent="0.25">
      <c r="B50" s="226" t="s">
        <v>286</v>
      </c>
      <c r="C50" s="225">
        <v>125000</v>
      </c>
      <c r="D50" s="223">
        <f>tblData[[#This Row],[Annual Cost ]]/SUM(tblData[[Annual Cost ]])</f>
        <v>2.9408304905305258E-2</v>
      </c>
      <c r="E50" s="223">
        <f>SUM(INDEX(tblData[Percent of Total],1):tblData[[#This Row],[Percent of Total]])</f>
        <v>0.98235501705681683</v>
      </c>
    </row>
    <row r="51" spans="2:5" ht="20.100000000000001" customHeight="1" x14ac:dyDescent="0.25">
      <c r="B51" s="226" t="s">
        <v>285</v>
      </c>
      <c r="C51" s="225">
        <v>75000</v>
      </c>
      <c r="D51" s="223">
        <f>tblData[[#This Row],[Annual Cost ]]/SUM(tblData[[Annual Cost ]])</f>
        <v>1.7644982943183157E-2</v>
      </c>
      <c r="E51" s="223">
        <f>SUM(INDEX(tblData[Percent of Total],1):tblData[[#This Row],[Percent of Total]])</f>
        <v>1</v>
      </c>
    </row>
    <row r="52" spans="2:5" x14ac:dyDescent="0.25">
      <c r="B52" s="42" t="s">
        <v>89</v>
      </c>
      <c r="C52" s="224">
        <f>SUBTOTAL(109,tblData[[Annual Cost ]])</f>
        <v>4250500</v>
      </c>
      <c r="D52" s="223">
        <f>SUBTOTAL(109,tblData[Percent of Total])</f>
        <v>1</v>
      </c>
      <c r="E52" s="223"/>
    </row>
  </sheetData>
  <printOptions horizontalCentered="1"/>
  <pageMargins left="0.75" right="0.75" top="1" bottom="1" header="0.5" footer="0.5"/>
  <pageSetup scale="81" fitToHeight="0" orientation="landscape" r:id="rId1"/>
  <headerFooter differentFirst="1">
    <oddFooter>Page &amp;P of &amp;N</oddFooter>
  </headerFooter>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A1:P28"/>
  <sheetViews>
    <sheetView showGridLines="0" zoomScale="90" zoomScaleNormal="90" workbookViewId="0"/>
  </sheetViews>
  <sheetFormatPr defaultRowHeight="21" customHeight="1" x14ac:dyDescent="0.25"/>
  <cols>
    <col min="1" max="1" width="1.42578125" style="199" customWidth="1"/>
    <col min="2" max="2" width="23.28515625" style="199" customWidth="1"/>
    <col min="3" max="14" width="12" style="199" customWidth="1"/>
    <col min="15" max="15" width="16.7109375" style="199" customWidth="1"/>
    <col min="16" max="16" width="14.42578125" style="199" customWidth="1"/>
    <col min="17" max="16384" width="9.140625" style="199"/>
  </cols>
  <sheetData>
    <row r="1" spans="1:16" ht="33" customHeight="1" x14ac:dyDescent="0.45">
      <c r="A1" s="203"/>
      <c r="B1" s="222" t="s">
        <v>284</v>
      </c>
      <c r="C1" s="203"/>
      <c r="D1" s="203"/>
      <c r="E1" s="203"/>
      <c r="F1" s="203"/>
      <c r="H1" s="203"/>
      <c r="I1" s="203"/>
      <c r="J1" s="203"/>
      <c r="M1" s="203"/>
      <c r="N1" s="204"/>
      <c r="O1" s="204"/>
      <c r="P1" s="204"/>
    </row>
    <row r="2" spans="1:16" ht="21" customHeight="1" x14ac:dyDescent="0.3">
      <c r="A2" s="203"/>
      <c r="B2" s="221" t="s">
        <v>283</v>
      </c>
      <c r="C2" s="220">
        <v>2013</v>
      </c>
      <c r="D2" s="203"/>
      <c r="E2" s="203"/>
      <c r="F2" s="203"/>
      <c r="H2" s="203"/>
      <c r="I2" s="203"/>
      <c r="J2" s="203"/>
      <c r="K2" s="203"/>
      <c r="L2" s="203"/>
      <c r="M2" s="203"/>
      <c r="N2" s="204"/>
    </row>
    <row r="3" spans="1:16" ht="21" customHeight="1" x14ac:dyDescent="0.25">
      <c r="A3" s="203"/>
      <c r="B3" s="203"/>
      <c r="C3" s="203"/>
      <c r="D3" s="203"/>
      <c r="E3" s="203"/>
      <c r="F3" s="203"/>
      <c r="G3" s="203"/>
      <c r="H3" s="203"/>
      <c r="I3" s="203"/>
      <c r="J3" s="203"/>
      <c r="K3" s="203"/>
      <c r="L3" s="203"/>
      <c r="M3" s="203"/>
      <c r="N3" s="203"/>
      <c r="O3" s="203"/>
      <c r="P3" s="203"/>
    </row>
    <row r="4" spans="1:16" s="217" customFormat="1" ht="21" customHeight="1" x14ac:dyDescent="0.25">
      <c r="A4" s="219"/>
      <c r="B4" s="218" t="s">
        <v>282</v>
      </c>
      <c r="C4" s="207" t="s">
        <v>277</v>
      </c>
      <c r="D4" s="207" t="s">
        <v>276</v>
      </c>
      <c r="E4" s="207" t="s">
        <v>275</v>
      </c>
      <c r="F4" s="207" t="s">
        <v>274</v>
      </c>
      <c r="G4" s="207" t="s">
        <v>273</v>
      </c>
      <c r="H4" s="207" t="s">
        <v>272</v>
      </c>
      <c r="I4" s="207" t="s">
        <v>271</v>
      </c>
      <c r="J4" s="207" t="s">
        <v>270</v>
      </c>
      <c r="K4" s="207" t="s">
        <v>269</v>
      </c>
      <c r="L4" s="207" t="s">
        <v>268</v>
      </c>
      <c r="M4" s="207" t="s">
        <v>267</v>
      </c>
      <c r="N4" s="207" t="s">
        <v>266</v>
      </c>
      <c r="O4" s="207" t="s">
        <v>265</v>
      </c>
      <c r="P4" s="207" t="s">
        <v>264</v>
      </c>
    </row>
    <row r="5" spans="1:16" s="213" customFormat="1" ht="21" customHeight="1" x14ac:dyDescent="0.25">
      <c r="A5" s="216"/>
      <c r="B5" s="212" t="s">
        <v>281</v>
      </c>
      <c r="C5" s="215">
        <f>tblIncome[[#Totals],[JAN]]-tblExpenses[[#Totals],[JAN]]</f>
        <v>1220</v>
      </c>
      <c r="D5" s="215">
        <f>tblIncome[[#Totals],[FEB]]-tblExpenses[[#Totals],[FEB]]</f>
        <v>1587</v>
      </c>
      <c r="E5" s="215">
        <f>tblIncome[[#Totals],[MAR]]-tblExpenses[[#Totals],[MAR]]</f>
        <v>1174</v>
      </c>
      <c r="F5" s="215">
        <f>tblIncome[[#Totals],[APR]]-tblExpenses[[#Totals],[APR]]</f>
        <v>1445</v>
      </c>
      <c r="G5" s="215">
        <f>tblIncome[[#Totals],[MAY]]-tblExpenses[[#Totals],[MAY]]</f>
        <v>1391</v>
      </c>
      <c r="H5" s="215">
        <f>tblIncome[[#Totals],[JUN]]-tblExpenses[[#Totals],[JUN]]</f>
        <v>1434</v>
      </c>
      <c r="I5" s="215">
        <f>tblIncome[[#Totals],[JUL]]-tblExpenses[[#Totals],[JUL]]</f>
        <v>1085</v>
      </c>
      <c r="J5" s="215">
        <f>tblIncome[[#Totals],[AUG]]-tblExpenses[[#Totals],[AUG]]</f>
        <v>1181</v>
      </c>
      <c r="K5" s="215">
        <f>tblIncome[[#Totals],[SEP]]-tblExpenses[[#Totals],[SEP]]</f>
        <v>1445</v>
      </c>
      <c r="L5" s="215">
        <f>tblIncome[[#Totals],[OCT]]-tblExpenses[[#Totals],[OCT]]</f>
        <v>1466</v>
      </c>
      <c r="M5" s="215">
        <f>tblIncome[[#Totals],[NOV]]-tblExpenses[[#Totals],[NOV]]</f>
        <v>0</v>
      </c>
      <c r="N5" s="215">
        <f>tblIncome[[#Totals],[DEC]]-tblExpenses[[#Totals],[DEC]]</f>
        <v>0</v>
      </c>
      <c r="O5" s="215">
        <f>tblIncome[[#Totals],[YTD TOTAL]]-tblExpenses[[#Totals],[YTD TOTAL]]</f>
        <v>13428</v>
      </c>
      <c r="P5" s="214"/>
    </row>
    <row r="6" spans="1:16" ht="21" customHeight="1" x14ac:dyDescent="0.25">
      <c r="A6" s="203"/>
      <c r="B6" s="203"/>
      <c r="C6" s="203"/>
      <c r="D6" s="203"/>
      <c r="E6" s="203"/>
      <c r="F6" s="203"/>
      <c r="G6" s="203"/>
      <c r="H6" s="203"/>
      <c r="I6" s="203"/>
      <c r="J6" s="203"/>
      <c r="K6" s="203"/>
      <c r="L6" s="203"/>
      <c r="M6" s="203"/>
      <c r="N6" s="203"/>
      <c r="O6" s="203"/>
      <c r="P6" s="203"/>
    </row>
    <row r="7" spans="1:16" ht="21" customHeight="1" x14ac:dyDescent="0.25">
      <c r="A7" s="203"/>
      <c r="B7" s="208" t="s">
        <v>280</v>
      </c>
      <c r="C7" s="207" t="s">
        <v>277</v>
      </c>
      <c r="D7" s="207" t="s">
        <v>276</v>
      </c>
      <c r="E7" s="207" t="s">
        <v>275</v>
      </c>
      <c r="F7" s="207" t="s">
        <v>274</v>
      </c>
      <c r="G7" s="207" t="s">
        <v>273</v>
      </c>
      <c r="H7" s="207" t="s">
        <v>272</v>
      </c>
      <c r="I7" s="207" t="s">
        <v>271</v>
      </c>
      <c r="J7" s="207" t="s">
        <v>270</v>
      </c>
      <c r="K7" s="207" t="s">
        <v>269</v>
      </c>
      <c r="L7" s="207" t="s">
        <v>268</v>
      </c>
      <c r="M7" s="207" t="s">
        <v>267</v>
      </c>
      <c r="N7" s="207" t="s">
        <v>266</v>
      </c>
      <c r="O7" s="207" t="s">
        <v>265</v>
      </c>
      <c r="P7" s="207" t="s">
        <v>264</v>
      </c>
    </row>
    <row r="8" spans="1:16" s="210" customFormat="1" ht="21" customHeight="1" x14ac:dyDescent="0.25">
      <c r="A8" s="211"/>
      <c r="B8" s="202" t="s">
        <v>76</v>
      </c>
      <c r="C8" s="206">
        <v>4000</v>
      </c>
      <c r="D8" s="206">
        <v>4410</v>
      </c>
      <c r="E8" s="206">
        <v>4019</v>
      </c>
      <c r="F8" s="206">
        <v>4263</v>
      </c>
      <c r="G8" s="206">
        <v>4123</v>
      </c>
      <c r="H8" s="206">
        <v>4308</v>
      </c>
      <c r="I8" s="206">
        <v>4162</v>
      </c>
      <c r="J8" s="206">
        <v>4165</v>
      </c>
      <c r="K8" s="206">
        <v>4248</v>
      </c>
      <c r="L8" s="206">
        <v>4324</v>
      </c>
      <c r="M8" s="206"/>
      <c r="N8" s="206"/>
      <c r="O8" s="206">
        <f>SUM(tblIncome[[#This Row],[JAN]:[DEC]])</f>
        <v>42022</v>
      </c>
      <c r="P8" s="202"/>
    </row>
    <row r="9" spans="1:16" s="212" customFormat="1" ht="21" customHeight="1" x14ac:dyDescent="0.25">
      <c r="B9" s="202" t="s">
        <v>75</v>
      </c>
      <c r="C9" s="206">
        <v>275</v>
      </c>
      <c r="D9" s="206">
        <v>296</v>
      </c>
      <c r="E9" s="206">
        <v>251</v>
      </c>
      <c r="F9" s="206">
        <v>269</v>
      </c>
      <c r="G9" s="206">
        <v>252</v>
      </c>
      <c r="H9" s="206">
        <v>252</v>
      </c>
      <c r="I9" s="206">
        <v>262</v>
      </c>
      <c r="J9" s="206">
        <v>258</v>
      </c>
      <c r="K9" s="206">
        <v>296</v>
      </c>
      <c r="L9" s="206">
        <v>270</v>
      </c>
      <c r="M9" s="206"/>
      <c r="N9" s="206"/>
      <c r="O9" s="206">
        <f>SUM(tblIncome[[#This Row],[JAN]:[DEC]])</f>
        <v>2681</v>
      </c>
      <c r="P9" s="202"/>
    </row>
    <row r="10" spans="1:16" s="210" customFormat="1" ht="21" customHeight="1" x14ac:dyDescent="0.25">
      <c r="A10" s="211"/>
      <c r="B10" s="202" t="s">
        <v>279</v>
      </c>
      <c r="C10" s="206">
        <v>500</v>
      </c>
      <c r="D10" s="206">
        <v>507</v>
      </c>
      <c r="E10" s="206">
        <v>551</v>
      </c>
      <c r="F10" s="206">
        <v>556</v>
      </c>
      <c r="G10" s="206">
        <v>588</v>
      </c>
      <c r="H10" s="206">
        <v>534</v>
      </c>
      <c r="I10" s="206">
        <v>533</v>
      </c>
      <c r="J10" s="206">
        <v>585</v>
      </c>
      <c r="K10" s="206">
        <v>560</v>
      </c>
      <c r="L10" s="206">
        <v>520</v>
      </c>
      <c r="M10" s="206"/>
      <c r="N10" s="206"/>
      <c r="O10" s="206">
        <f>SUM(tblIncome[[#This Row],[JAN]:[DEC]])</f>
        <v>5434</v>
      </c>
      <c r="P10" s="202"/>
    </row>
    <row r="11" spans="1:16" ht="21" customHeight="1" x14ac:dyDescent="0.25">
      <c r="A11" s="203"/>
      <c r="B11" s="202" t="s">
        <v>73</v>
      </c>
      <c r="C11" s="201">
        <f>SUBTOTAL(109,tblIncome[JAN])</f>
        <v>4775</v>
      </c>
      <c r="D11" s="201">
        <f>SUBTOTAL(109,tblIncome[FEB])</f>
        <v>5213</v>
      </c>
      <c r="E11" s="201">
        <f>SUBTOTAL(109,tblIncome[MAR])</f>
        <v>4821</v>
      </c>
      <c r="F11" s="201">
        <f>SUBTOTAL(109,tblIncome[APR])</f>
        <v>5088</v>
      </c>
      <c r="G11" s="201">
        <f>SUBTOTAL(109,tblIncome[MAY])</f>
        <v>4963</v>
      </c>
      <c r="H11" s="201">
        <f>SUBTOTAL(109,tblIncome[JUN])</f>
        <v>5094</v>
      </c>
      <c r="I11" s="201">
        <f>SUBTOTAL(109,tblIncome[JUL])</f>
        <v>4957</v>
      </c>
      <c r="J11" s="201">
        <f>SUBTOTAL(109,tblIncome[AUG])</f>
        <v>5008</v>
      </c>
      <c r="K11" s="201">
        <f>SUBTOTAL(109,tblIncome[SEP])</f>
        <v>5104</v>
      </c>
      <c r="L11" s="201">
        <f>SUBTOTAL(109,tblIncome[OCT])</f>
        <v>5114</v>
      </c>
      <c r="M11" s="201">
        <f>SUBTOTAL(109,tblIncome[NOV])</f>
        <v>0</v>
      </c>
      <c r="N11" s="201">
        <f>SUBTOTAL(109,tblIncome[DEC])</f>
        <v>0</v>
      </c>
      <c r="O11" s="201">
        <f>SUBTOTAL(109,tblIncome[YTD TOTAL])</f>
        <v>50137</v>
      </c>
      <c r="P11" s="200"/>
    </row>
    <row r="12" spans="1:16" ht="21" customHeight="1" x14ac:dyDescent="0.25">
      <c r="A12" s="203"/>
      <c r="B12" s="209"/>
      <c r="C12" s="209"/>
      <c r="D12" s="209"/>
      <c r="E12" s="209"/>
      <c r="F12" s="209"/>
      <c r="G12" s="209"/>
      <c r="H12" s="209"/>
      <c r="I12" s="209"/>
      <c r="J12" s="209"/>
      <c r="K12" s="209"/>
      <c r="L12" s="209"/>
      <c r="M12" s="209"/>
      <c r="N12" s="209"/>
      <c r="O12" s="209"/>
      <c r="P12" s="209"/>
    </row>
    <row r="13" spans="1:16" ht="21" customHeight="1" x14ac:dyDescent="0.25">
      <c r="A13" s="203"/>
      <c r="B13" s="208" t="s">
        <v>278</v>
      </c>
      <c r="C13" s="207" t="s">
        <v>277</v>
      </c>
      <c r="D13" s="207" t="s">
        <v>276</v>
      </c>
      <c r="E13" s="207" t="s">
        <v>275</v>
      </c>
      <c r="F13" s="207" t="s">
        <v>274</v>
      </c>
      <c r="G13" s="207" t="s">
        <v>273</v>
      </c>
      <c r="H13" s="207" t="s">
        <v>272</v>
      </c>
      <c r="I13" s="207" t="s">
        <v>271</v>
      </c>
      <c r="J13" s="207" t="s">
        <v>270</v>
      </c>
      <c r="K13" s="207" t="s">
        <v>269</v>
      </c>
      <c r="L13" s="207" t="s">
        <v>268</v>
      </c>
      <c r="M13" s="207" t="s">
        <v>267</v>
      </c>
      <c r="N13" s="207" t="s">
        <v>266</v>
      </c>
      <c r="O13" s="207" t="s">
        <v>265</v>
      </c>
      <c r="P13" s="207" t="s">
        <v>264</v>
      </c>
    </row>
    <row r="14" spans="1:16" ht="21" customHeight="1" x14ac:dyDescent="0.25">
      <c r="A14" s="203"/>
      <c r="B14" s="202" t="s">
        <v>263</v>
      </c>
      <c r="C14" s="206">
        <v>1500</v>
      </c>
      <c r="D14" s="206">
        <v>1500</v>
      </c>
      <c r="E14" s="206">
        <v>1500</v>
      </c>
      <c r="F14" s="206">
        <v>1500</v>
      </c>
      <c r="G14" s="206">
        <v>1500</v>
      </c>
      <c r="H14" s="206">
        <v>1500</v>
      </c>
      <c r="I14" s="206">
        <v>1500</v>
      </c>
      <c r="J14" s="206">
        <v>1500</v>
      </c>
      <c r="K14" s="206">
        <v>1500</v>
      </c>
      <c r="L14" s="206">
        <v>1500</v>
      </c>
      <c r="M14" s="206"/>
      <c r="N14" s="206"/>
      <c r="O14" s="206">
        <f>SUM(tblExpenses[[#This Row],[JAN]:[DEC]])</f>
        <v>15000</v>
      </c>
      <c r="P14" s="205"/>
    </row>
    <row r="15" spans="1:16" ht="21" customHeight="1" x14ac:dyDescent="0.25">
      <c r="A15" s="203"/>
      <c r="B15" s="202" t="s">
        <v>262</v>
      </c>
      <c r="C15" s="206">
        <v>250</v>
      </c>
      <c r="D15" s="206">
        <v>331</v>
      </c>
      <c r="E15" s="206">
        <v>299</v>
      </c>
      <c r="F15" s="206">
        <v>333</v>
      </c>
      <c r="G15" s="206">
        <v>324</v>
      </c>
      <c r="H15" s="206">
        <v>313</v>
      </c>
      <c r="I15" s="206">
        <v>338</v>
      </c>
      <c r="J15" s="206">
        <v>225</v>
      </c>
      <c r="K15" s="206">
        <v>258</v>
      </c>
      <c r="L15" s="206">
        <v>322</v>
      </c>
      <c r="M15" s="206"/>
      <c r="N15" s="206"/>
      <c r="O15" s="206">
        <f>SUM(tblExpenses[[#This Row],[JAN]:[DEC]])</f>
        <v>2993</v>
      </c>
      <c r="P15" s="205"/>
    </row>
    <row r="16" spans="1:16" ht="21" customHeight="1" x14ac:dyDescent="0.25">
      <c r="A16" s="203"/>
      <c r="B16" s="202" t="s">
        <v>261</v>
      </c>
      <c r="C16" s="206">
        <v>345</v>
      </c>
      <c r="D16" s="206">
        <v>345</v>
      </c>
      <c r="E16" s="206">
        <v>345</v>
      </c>
      <c r="F16" s="206">
        <v>345</v>
      </c>
      <c r="G16" s="206">
        <v>345</v>
      </c>
      <c r="H16" s="206">
        <v>345</v>
      </c>
      <c r="I16" s="206">
        <v>345</v>
      </c>
      <c r="J16" s="206">
        <v>345</v>
      </c>
      <c r="K16" s="206">
        <v>345</v>
      </c>
      <c r="L16" s="206">
        <v>345</v>
      </c>
      <c r="M16" s="206"/>
      <c r="N16" s="206"/>
      <c r="O16" s="206">
        <f>SUM(tblExpenses[[#This Row],[JAN]:[DEC]])</f>
        <v>3450</v>
      </c>
      <c r="P16" s="205"/>
    </row>
    <row r="17" spans="1:16" ht="21" customHeight="1" x14ac:dyDescent="0.25">
      <c r="A17" s="203"/>
      <c r="B17" s="202" t="s">
        <v>54</v>
      </c>
      <c r="C17" s="206">
        <v>120</v>
      </c>
      <c r="D17" s="206">
        <v>120</v>
      </c>
      <c r="E17" s="206">
        <v>120</v>
      </c>
      <c r="F17" s="206">
        <v>120</v>
      </c>
      <c r="G17" s="206">
        <v>120</v>
      </c>
      <c r="H17" s="206">
        <v>120</v>
      </c>
      <c r="I17" s="206">
        <v>120</v>
      </c>
      <c r="J17" s="206">
        <v>120</v>
      </c>
      <c r="K17" s="206">
        <v>120</v>
      </c>
      <c r="L17" s="206">
        <v>120</v>
      </c>
      <c r="M17" s="206"/>
      <c r="N17" s="206"/>
      <c r="O17" s="206">
        <f>SUM(tblExpenses[[#This Row],[JAN]:[DEC]])</f>
        <v>1200</v>
      </c>
      <c r="P17" s="205"/>
    </row>
    <row r="18" spans="1:16" ht="21" customHeight="1" x14ac:dyDescent="0.25">
      <c r="A18" s="203"/>
      <c r="B18" s="202" t="s">
        <v>260</v>
      </c>
      <c r="C18" s="206">
        <v>50</v>
      </c>
      <c r="D18" s="206">
        <v>50</v>
      </c>
      <c r="E18" s="206">
        <v>50</v>
      </c>
      <c r="F18" s="206">
        <v>50</v>
      </c>
      <c r="G18" s="206">
        <v>50</v>
      </c>
      <c r="H18" s="206">
        <v>50</v>
      </c>
      <c r="I18" s="206">
        <v>50</v>
      </c>
      <c r="J18" s="206">
        <v>50</v>
      </c>
      <c r="K18" s="206">
        <v>50</v>
      </c>
      <c r="L18" s="206">
        <v>50</v>
      </c>
      <c r="M18" s="206"/>
      <c r="N18" s="206"/>
      <c r="O18" s="206">
        <f>SUM(tblExpenses[[#This Row],[JAN]:[DEC]])</f>
        <v>500</v>
      </c>
      <c r="P18" s="205"/>
    </row>
    <row r="19" spans="1:16" ht="21" customHeight="1" x14ac:dyDescent="0.25">
      <c r="A19" s="203"/>
      <c r="B19" s="202" t="s">
        <v>259</v>
      </c>
      <c r="C19" s="206">
        <v>72</v>
      </c>
      <c r="D19" s="206">
        <v>70</v>
      </c>
      <c r="E19" s="206">
        <v>80</v>
      </c>
      <c r="F19" s="206">
        <v>70</v>
      </c>
      <c r="G19" s="206">
        <v>75</v>
      </c>
      <c r="H19" s="206">
        <v>80</v>
      </c>
      <c r="I19" s="206">
        <v>90</v>
      </c>
      <c r="J19" s="206">
        <v>73</v>
      </c>
      <c r="K19" s="206">
        <v>75</v>
      </c>
      <c r="L19" s="206">
        <v>70</v>
      </c>
      <c r="M19" s="206"/>
      <c r="N19" s="206"/>
      <c r="O19" s="206">
        <f>SUM(tblExpenses[[#This Row],[JAN]:[DEC]])</f>
        <v>755</v>
      </c>
      <c r="P19" s="205"/>
    </row>
    <row r="20" spans="1:16" ht="21" customHeight="1" x14ac:dyDescent="0.25">
      <c r="A20" s="203"/>
      <c r="B20" s="202" t="s">
        <v>258</v>
      </c>
      <c r="C20" s="206">
        <v>60</v>
      </c>
      <c r="D20" s="206">
        <v>63</v>
      </c>
      <c r="E20" s="206">
        <v>65</v>
      </c>
      <c r="F20" s="206">
        <v>60</v>
      </c>
      <c r="G20" s="206">
        <v>65</v>
      </c>
      <c r="H20" s="206">
        <v>60</v>
      </c>
      <c r="I20" s="206">
        <v>63</v>
      </c>
      <c r="J20" s="206">
        <v>60</v>
      </c>
      <c r="K20" s="206">
        <v>63</v>
      </c>
      <c r="L20" s="206">
        <v>60</v>
      </c>
      <c r="M20" s="206"/>
      <c r="N20" s="206"/>
      <c r="O20" s="206">
        <f>SUM(tblExpenses[[#This Row],[JAN]:[DEC]])</f>
        <v>619</v>
      </c>
      <c r="P20" s="205"/>
    </row>
    <row r="21" spans="1:16" ht="21" customHeight="1" x14ac:dyDescent="0.25">
      <c r="A21" s="203"/>
      <c r="B21" s="202" t="s">
        <v>257</v>
      </c>
      <c r="C21" s="206">
        <v>45</v>
      </c>
      <c r="D21" s="206">
        <v>45</v>
      </c>
      <c r="E21" s="206">
        <v>45</v>
      </c>
      <c r="F21" s="206">
        <v>45</v>
      </c>
      <c r="G21" s="206">
        <v>45</v>
      </c>
      <c r="H21" s="206">
        <v>45</v>
      </c>
      <c r="I21" s="206">
        <v>45</v>
      </c>
      <c r="J21" s="206">
        <v>45</v>
      </c>
      <c r="K21" s="206">
        <v>45</v>
      </c>
      <c r="L21" s="206">
        <v>45</v>
      </c>
      <c r="M21" s="206"/>
      <c r="N21" s="206"/>
      <c r="O21" s="206">
        <f>SUM(tblExpenses[[#This Row],[JAN]:[DEC]])</f>
        <v>450</v>
      </c>
      <c r="P21" s="205"/>
    </row>
    <row r="22" spans="1:16" ht="21" customHeight="1" x14ac:dyDescent="0.25">
      <c r="A22" s="203"/>
      <c r="B22" s="202" t="s">
        <v>68</v>
      </c>
      <c r="C22" s="206">
        <v>155</v>
      </c>
      <c r="D22" s="206">
        <v>155</v>
      </c>
      <c r="E22" s="206">
        <v>158</v>
      </c>
      <c r="F22" s="206">
        <v>160</v>
      </c>
      <c r="G22" s="206">
        <v>165</v>
      </c>
      <c r="H22" s="206">
        <v>200</v>
      </c>
      <c r="I22" s="206">
        <v>340</v>
      </c>
      <c r="J22" s="206">
        <v>350</v>
      </c>
      <c r="K22" s="206">
        <v>240</v>
      </c>
      <c r="L22" s="206">
        <v>180</v>
      </c>
      <c r="M22" s="206"/>
      <c r="N22" s="206"/>
      <c r="O22" s="206">
        <f>SUM(tblExpenses[[#This Row],[JAN]:[DEC]])</f>
        <v>2103</v>
      </c>
      <c r="P22" s="205"/>
    </row>
    <row r="23" spans="1:16" ht="21" customHeight="1" x14ac:dyDescent="0.25">
      <c r="A23" s="203"/>
      <c r="B23" s="202" t="s">
        <v>256</v>
      </c>
      <c r="C23" s="206">
        <v>35</v>
      </c>
      <c r="D23" s="206">
        <v>35</v>
      </c>
      <c r="E23" s="206">
        <v>37</v>
      </c>
      <c r="F23" s="206">
        <v>39</v>
      </c>
      <c r="G23" s="206">
        <v>45</v>
      </c>
      <c r="H23" s="206">
        <v>42</v>
      </c>
      <c r="I23" s="206">
        <v>42</v>
      </c>
      <c r="J23" s="206">
        <v>36</v>
      </c>
      <c r="K23" s="206">
        <v>38</v>
      </c>
      <c r="L23" s="206">
        <v>40</v>
      </c>
      <c r="M23" s="206"/>
      <c r="N23" s="206"/>
      <c r="O23" s="206">
        <f>SUM(tblExpenses[[#This Row],[JAN]:[DEC]])</f>
        <v>389</v>
      </c>
      <c r="P23" s="205"/>
    </row>
    <row r="24" spans="1:16" ht="21" customHeight="1" x14ac:dyDescent="0.25">
      <c r="A24" s="203"/>
      <c r="B24" s="202" t="s">
        <v>67</v>
      </c>
      <c r="C24" s="206">
        <v>50</v>
      </c>
      <c r="D24" s="206">
        <v>45</v>
      </c>
      <c r="E24" s="206">
        <v>40</v>
      </c>
      <c r="F24" s="206">
        <v>40</v>
      </c>
      <c r="G24" s="206">
        <v>42</v>
      </c>
      <c r="H24" s="206">
        <v>50</v>
      </c>
      <c r="I24" s="206">
        <v>55</v>
      </c>
      <c r="J24" s="206">
        <v>40</v>
      </c>
      <c r="K24" s="206">
        <v>43</v>
      </c>
      <c r="L24" s="206">
        <v>30</v>
      </c>
      <c r="M24" s="206"/>
      <c r="N24" s="206"/>
      <c r="O24" s="206">
        <f>SUM(tblExpenses[[#This Row],[JAN]:[DEC]])</f>
        <v>435</v>
      </c>
      <c r="P24" s="205"/>
    </row>
    <row r="25" spans="1:16" ht="21" customHeight="1" x14ac:dyDescent="0.25">
      <c r="A25" s="203"/>
      <c r="B25" s="202" t="s">
        <v>31</v>
      </c>
      <c r="C25" s="206">
        <v>123</v>
      </c>
      <c r="D25" s="206">
        <v>92</v>
      </c>
      <c r="E25" s="206">
        <v>58</v>
      </c>
      <c r="F25" s="206">
        <v>131</v>
      </c>
      <c r="G25" s="206">
        <v>46</v>
      </c>
      <c r="H25" s="206">
        <v>105</v>
      </c>
      <c r="I25" s="206">
        <v>84</v>
      </c>
      <c r="J25" s="206">
        <v>108</v>
      </c>
      <c r="K25" s="206">
        <v>132</v>
      </c>
      <c r="L25" s="206">
        <v>136</v>
      </c>
      <c r="M25" s="206"/>
      <c r="N25" s="206"/>
      <c r="O25" s="206">
        <f>SUM(tblExpenses[[#This Row],[JAN]:[DEC]])</f>
        <v>1015</v>
      </c>
      <c r="P25" s="205"/>
    </row>
    <row r="26" spans="1:16" ht="21" customHeight="1" x14ac:dyDescent="0.25">
      <c r="A26" s="203"/>
      <c r="B26" s="202" t="s">
        <v>255</v>
      </c>
      <c r="C26" s="206">
        <v>550</v>
      </c>
      <c r="D26" s="206">
        <v>550</v>
      </c>
      <c r="E26" s="206">
        <v>550</v>
      </c>
      <c r="F26" s="206">
        <v>550</v>
      </c>
      <c r="G26" s="206">
        <v>550</v>
      </c>
      <c r="H26" s="206">
        <v>550</v>
      </c>
      <c r="I26" s="206">
        <v>550</v>
      </c>
      <c r="J26" s="206">
        <v>550</v>
      </c>
      <c r="K26" s="206">
        <v>550</v>
      </c>
      <c r="L26" s="206">
        <v>550</v>
      </c>
      <c r="M26" s="206"/>
      <c r="N26" s="206"/>
      <c r="O26" s="206">
        <f>SUM(tblExpenses[[#This Row],[JAN]:[DEC]])</f>
        <v>5500</v>
      </c>
      <c r="P26" s="205"/>
    </row>
    <row r="27" spans="1:16" s="204" customFormat="1" ht="21" customHeight="1" x14ac:dyDescent="0.25">
      <c r="B27" s="202" t="s">
        <v>254</v>
      </c>
      <c r="C27" s="206">
        <v>200</v>
      </c>
      <c r="D27" s="206">
        <v>225</v>
      </c>
      <c r="E27" s="206">
        <v>300</v>
      </c>
      <c r="F27" s="206">
        <v>200</v>
      </c>
      <c r="G27" s="206">
        <v>200</v>
      </c>
      <c r="H27" s="206">
        <v>200</v>
      </c>
      <c r="I27" s="206">
        <v>250</v>
      </c>
      <c r="J27" s="206">
        <v>325</v>
      </c>
      <c r="K27" s="206">
        <v>200</v>
      </c>
      <c r="L27" s="206">
        <v>200</v>
      </c>
      <c r="M27" s="206"/>
      <c r="N27" s="206"/>
      <c r="O27" s="206">
        <f>SUM(tblExpenses[[#This Row],[JAN]:[DEC]])</f>
        <v>2300</v>
      </c>
      <c r="P27" s="205"/>
    </row>
    <row r="28" spans="1:16" ht="21" customHeight="1" x14ac:dyDescent="0.25">
      <c r="A28" s="203"/>
      <c r="B28" s="202" t="s">
        <v>85</v>
      </c>
      <c r="C28" s="201">
        <f>SUBTOTAL(109,tblExpenses[JAN])</f>
        <v>3555</v>
      </c>
      <c r="D28" s="201">
        <f>SUBTOTAL(109,tblExpenses[FEB])</f>
        <v>3626</v>
      </c>
      <c r="E28" s="201">
        <f>SUBTOTAL(109,tblExpenses[MAR])</f>
        <v>3647</v>
      </c>
      <c r="F28" s="201">
        <f>SUBTOTAL(109,tblExpenses[APR])</f>
        <v>3643</v>
      </c>
      <c r="G28" s="201">
        <f>SUBTOTAL(109,tblExpenses[MAY])</f>
        <v>3572</v>
      </c>
      <c r="H28" s="201">
        <f>SUBTOTAL(109,tblExpenses[JUN])</f>
        <v>3660</v>
      </c>
      <c r="I28" s="201">
        <f>SUBTOTAL(109,tblExpenses[JUL])</f>
        <v>3872</v>
      </c>
      <c r="J28" s="201">
        <f>SUBTOTAL(109,tblExpenses[AUG])</f>
        <v>3827</v>
      </c>
      <c r="K28" s="201">
        <f>SUBTOTAL(109,tblExpenses[SEP])</f>
        <v>3659</v>
      </c>
      <c r="L28" s="201">
        <f>SUBTOTAL(109,tblExpenses[OCT])</f>
        <v>3648</v>
      </c>
      <c r="M28" s="201">
        <f>SUBTOTAL(109,tblExpenses[NOV])</f>
        <v>0</v>
      </c>
      <c r="N28" s="201">
        <f>SUBTOTAL(109,tblExpenses[DEC])</f>
        <v>0</v>
      </c>
      <c r="O28" s="201">
        <f>SUBTOTAL(109,tblExpenses[YTD TOTAL])</f>
        <v>36709</v>
      </c>
      <c r="P28" s="200"/>
    </row>
  </sheetData>
  <mergeCells count="1">
    <mergeCell ref="B12:P12"/>
  </mergeCells>
  <printOptions horizontalCentered="1"/>
  <pageMargins left="0.25" right="0.25" top="0.75" bottom="0.75" header="0.3" footer="0.3"/>
  <pageSetup scale="68" fitToHeight="0" orientation="landscape" r:id="rId1"/>
  <headerFooter differentFirst="1">
    <oddFooter>Page &amp;P of &amp;N</oddFooter>
  </headerFooter>
  <drawing r:id="rId2"/>
  <tableParts count="3">
    <tablePart r:id="rId3"/>
    <tablePart r:id="rId4"/>
    <tablePart r:id="rId5"/>
  </tableParts>
  <extLst>
    <ext xmlns:x14="http://schemas.microsoft.com/office/spreadsheetml/2009/9/main" uri="{05C60535-1F16-4fd2-B633-F4F36F0B64E0}">
      <x14:sparklineGroups xmlns:xm="http://schemas.microsoft.com/office/excel/2006/main">
        <x14:sparklineGroup displayEmptyCellsAs="span" markers="1" high="1" low="1" displayHidden="1">
          <x14:colorSeries theme="5" tint="0.39997558519241921"/>
          <x14:colorNegative theme="0" tint="-0.499984740745262"/>
          <x14:colorAxis rgb="FF000000"/>
          <x14:colorMarkers theme="5"/>
          <x14:colorFirst theme="6" tint="-0.249977111117893"/>
          <x14:colorLast theme="6" tint="-0.249977111117893"/>
          <x14:colorHigh theme="5"/>
          <x14:colorLow rgb="FFFF0000"/>
          <x14:sparklines>
            <x14:sparkline>
              <xm:f>'Family Budget'!C14:N14</xm:f>
              <xm:sqref>P14</xm:sqref>
            </x14:sparkline>
            <x14:sparkline>
              <xm:f>'Family Budget'!C15:N15</xm:f>
              <xm:sqref>P15</xm:sqref>
            </x14:sparkline>
            <x14:sparkline>
              <xm:f>'Family Budget'!C16:N16</xm:f>
              <xm:sqref>P16</xm:sqref>
            </x14:sparkline>
            <x14:sparkline>
              <xm:f>'Family Budget'!C17:N17</xm:f>
              <xm:sqref>P17</xm:sqref>
            </x14:sparkline>
            <x14:sparkline>
              <xm:f>'Family Budget'!C18:N18</xm:f>
              <xm:sqref>P18</xm:sqref>
            </x14:sparkline>
            <x14:sparkline>
              <xm:f>'Family Budget'!C19:N19</xm:f>
              <xm:sqref>P19</xm:sqref>
            </x14:sparkline>
            <x14:sparkline>
              <xm:f>'Family Budget'!C20:N20</xm:f>
              <xm:sqref>P20</xm:sqref>
            </x14:sparkline>
            <x14:sparkline>
              <xm:f>'Family Budget'!C21:N21</xm:f>
              <xm:sqref>P21</xm:sqref>
            </x14:sparkline>
            <x14:sparkline>
              <xm:f>'Family Budget'!C22:N22</xm:f>
              <xm:sqref>P22</xm:sqref>
            </x14:sparkline>
            <x14:sparkline>
              <xm:f>'Family Budget'!C23:N23</xm:f>
              <xm:sqref>P23</xm:sqref>
            </x14:sparkline>
            <x14:sparkline>
              <xm:f>'Family Budget'!C24:N24</xm:f>
              <xm:sqref>P24</xm:sqref>
            </x14:sparkline>
            <x14:sparkline>
              <xm:f>'Family Budget'!C25:N25</xm:f>
              <xm:sqref>P25</xm:sqref>
            </x14:sparkline>
            <x14:sparkline>
              <xm:f>'Family Budget'!C26:N26</xm:f>
              <xm:sqref>P26</xm:sqref>
            </x14:sparkline>
            <x14:sparkline>
              <xm:f>'Family Budget'!C27:N27</xm:f>
              <xm:sqref>P27</xm:sqref>
            </x14:sparkline>
          </x14:sparklines>
        </x14:sparklineGroup>
        <x14:sparklineGroup displayEmptyCellsAs="gap" markers="1" high="1" low="1">
          <x14:colorSeries theme="5" tint="0.39997558519241921"/>
          <x14:colorNegative theme="0" tint="-0.499984740745262"/>
          <x14:colorAxis rgb="FF000000"/>
          <x14:colorMarkers theme="5"/>
          <x14:colorFirst theme="6" tint="-0.249977111117893"/>
          <x14:colorLast theme="6" tint="-0.249977111117893"/>
          <x14:colorHigh rgb="FF92D050"/>
          <x14:colorLow rgb="FFFF0000"/>
          <x14:sparklines>
            <x14:sparkline>
              <xm:f>'Family Budget'!C8:N8</xm:f>
              <xm:sqref>P8</xm:sqref>
            </x14:sparkline>
            <x14:sparkline>
              <xm:f>'Family Budget'!C9:N9</xm:f>
              <xm:sqref>P9</xm:sqref>
            </x14:sparkline>
            <x14:sparkline>
              <xm:f>'Family Budget'!C10:N10</xm:f>
              <xm:sqref>P10</xm:sqref>
            </x14:sparkline>
          </x14:sparklines>
        </x14:sparklineGroup>
        <x14:sparklineGroup type="column" displayEmptyCellsAs="gap" high="1" low="1">
          <x14:colorSeries theme="5"/>
          <x14:colorNegative rgb="FFFFB620"/>
          <x14:colorAxis rgb="FF000000"/>
          <x14:colorMarkers rgb="FFD70077"/>
          <x14:colorFirst rgb="FF777777"/>
          <x14:colorLast rgb="FF359CEB"/>
          <x14:colorHigh rgb="FFFF0000"/>
          <x14:colorLow rgb="FF92D050"/>
          <x14:sparklines>
            <x14:sparkline>
              <xm:f>'Family Budget'!C28:N28</xm:f>
              <xm:sqref>P28</xm:sqref>
            </x14:sparkline>
            <x14:sparkline>
              <xm:f>'Family Budget'!C11:N11</xm:f>
              <xm:sqref>P11</xm:sqref>
            </x14:sparkline>
            <x14:sparkline>
              <xm:f>'Family Budget'!C5:N5</xm:f>
              <xm:sqref>P5</xm:sqref>
            </x14:sparkline>
          </x14:sparklines>
        </x14:sparklineGroup>
      </x14:sparklineGroup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pageSetUpPr fitToPage="1"/>
  </sheetPr>
  <dimension ref="A1:J14"/>
  <sheetViews>
    <sheetView showGridLines="0" workbookViewId="0">
      <selection activeCell="B1" sqref="B1:F1"/>
    </sheetView>
  </sheetViews>
  <sheetFormatPr defaultColWidth="9.140625" defaultRowHeight="12.75" x14ac:dyDescent="0.2"/>
  <cols>
    <col min="1" max="1" width="1.140625" style="110" customWidth="1"/>
    <col min="2" max="2" width="25.42578125" style="110" customWidth="1"/>
    <col min="3" max="4" width="21" style="110" customWidth="1"/>
    <col min="5" max="5" width="2" style="110" customWidth="1"/>
    <col min="6" max="6" width="55.7109375" style="110" customWidth="1"/>
    <col min="7" max="7" width="1" style="110" customWidth="1"/>
    <col min="8" max="16384" width="9.140625" style="110"/>
  </cols>
  <sheetData>
    <row r="1" spans="1:10" ht="72.95" customHeight="1" thickBot="1" x14ac:dyDescent="0.6">
      <c r="A1" s="146"/>
      <c r="B1" s="150" t="str">
        <f>'Expenses (2)'!B2</f>
        <v>Event Name</v>
      </c>
      <c r="C1" s="182"/>
      <c r="D1" s="182"/>
      <c r="E1" s="182"/>
      <c r="F1" s="182"/>
      <c r="G1" s="148">
        <v>39709</v>
      </c>
      <c r="H1" s="198"/>
      <c r="I1" s="197"/>
      <c r="J1" s="197"/>
    </row>
    <row r="2" spans="1:10" ht="30.75" customHeight="1" x14ac:dyDescent="0.2">
      <c r="A2" s="143"/>
      <c r="B2" s="145" t="s">
        <v>253</v>
      </c>
      <c r="C2" s="196"/>
      <c r="D2" s="196"/>
      <c r="E2" s="196"/>
      <c r="F2" s="196"/>
      <c r="G2" s="196"/>
    </row>
    <row r="3" spans="1:10" ht="13.5" thickBot="1" x14ac:dyDescent="0.25">
      <c r="B3" s="114"/>
      <c r="C3" s="114"/>
      <c r="D3" s="178"/>
      <c r="E3" s="119"/>
      <c r="F3" s="119"/>
      <c r="G3" s="119"/>
    </row>
    <row r="4" spans="1:10" ht="18" customHeight="1" thickBot="1" x14ac:dyDescent="0.25">
      <c r="B4" s="195"/>
      <c r="C4" s="194" t="s">
        <v>86</v>
      </c>
      <c r="D4" s="193" t="s">
        <v>6</v>
      </c>
      <c r="E4" s="119"/>
      <c r="F4" s="192" t="s">
        <v>252</v>
      </c>
      <c r="G4" s="119"/>
    </row>
    <row r="5" spans="1:10" x14ac:dyDescent="0.2">
      <c r="B5" s="187" t="s">
        <v>251</v>
      </c>
      <c r="C5" s="189">
        <f>'Income (2)'!G34</f>
        <v>32750</v>
      </c>
      <c r="D5" s="191">
        <f>'Income (2)'!H34</f>
        <v>14910</v>
      </c>
      <c r="E5" s="119"/>
      <c r="F5" s="183"/>
      <c r="G5" s="119"/>
    </row>
    <row r="6" spans="1:10" x14ac:dyDescent="0.2">
      <c r="B6" s="190" t="s">
        <v>250</v>
      </c>
      <c r="C6" s="189">
        <f>'Expenses (2)'!C54</f>
        <v>2800</v>
      </c>
      <c r="D6" s="188">
        <f>'Expenses (2)'!D54</f>
        <v>3800</v>
      </c>
      <c r="E6" s="119"/>
      <c r="F6" s="183"/>
      <c r="G6" s="119"/>
    </row>
    <row r="7" spans="1:10" ht="13.5" thickBot="1" x14ac:dyDescent="0.25">
      <c r="B7" s="187"/>
      <c r="C7" s="163"/>
      <c r="D7" s="163"/>
      <c r="E7" s="119"/>
      <c r="F7" s="183"/>
      <c r="G7" s="119"/>
    </row>
    <row r="8" spans="1:10" ht="15.75" thickBot="1" x14ac:dyDescent="0.25">
      <c r="B8" s="186" t="s">
        <v>249</v>
      </c>
      <c r="C8" s="185"/>
      <c r="D8" s="185"/>
      <c r="E8" s="119"/>
      <c r="F8" s="183"/>
      <c r="G8" s="119"/>
    </row>
    <row r="9" spans="1:10" ht="24.95" customHeight="1" x14ac:dyDescent="0.2">
      <c r="C9" s="184">
        <f>C5-C6</f>
        <v>29950</v>
      </c>
      <c r="D9" s="184">
        <f>D5-D6</f>
        <v>11110</v>
      </c>
      <c r="E9" s="119"/>
      <c r="F9" s="183"/>
      <c r="G9" s="119"/>
    </row>
    <row r="10" spans="1:10" x14ac:dyDescent="0.2">
      <c r="F10" s="120"/>
    </row>
    <row r="11" spans="1:10" x14ac:dyDescent="0.2">
      <c r="F11" s="120"/>
    </row>
    <row r="12" spans="1:10" ht="11.25" customHeight="1" x14ac:dyDescent="0.2">
      <c r="F12" s="120"/>
    </row>
    <row r="14" spans="1:10" ht="18.75" customHeight="1" x14ac:dyDescent="0.2">
      <c r="A14" s="111"/>
      <c r="B14" s="111"/>
      <c r="C14" s="111"/>
      <c r="D14" s="111"/>
      <c r="E14" s="111"/>
      <c r="F14" s="111"/>
      <c r="G14" s="111"/>
    </row>
  </sheetData>
  <mergeCells count="2">
    <mergeCell ref="B2:G2"/>
    <mergeCell ref="B1:F1"/>
  </mergeCells>
  <printOptions horizontalCentered="1"/>
  <pageMargins left="0.75" right="0.75" top="1" bottom="1" header="0.5" footer="0.5"/>
  <pageSetup scale="58"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44</vt:i4>
      </vt:variant>
    </vt:vector>
  </HeadingPairs>
  <TitlesOfParts>
    <vt:vector size="58" baseType="lpstr">
      <vt:lpstr>DASHBOARD</vt:lpstr>
      <vt:lpstr>INCOME</vt:lpstr>
      <vt:lpstr>EXPENSES</vt:lpstr>
      <vt:lpstr>Channel Marketing Budget</vt:lpstr>
      <vt:lpstr>February</vt:lpstr>
      <vt:lpstr>Expense statement</vt:lpstr>
      <vt:lpstr>COST DATA and CHART</vt:lpstr>
      <vt:lpstr>Family Budget</vt:lpstr>
      <vt:lpstr>Profit - Loss Summary</vt:lpstr>
      <vt:lpstr>Income (2)</vt:lpstr>
      <vt:lpstr>Expenses (2)</vt:lpstr>
      <vt:lpstr>Budget Planner</vt:lpstr>
      <vt:lpstr>January</vt:lpstr>
      <vt:lpstr>project</vt:lpstr>
      <vt:lpstr>Actual1</vt:lpstr>
      <vt:lpstr>Actual10</vt:lpstr>
      <vt:lpstr>Actual11</vt:lpstr>
      <vt:lpstr>Actual12</vt:lpstr>
      <vt:lpstr>Actual13</vt:lpstr>
      <vt:lpstr>Actual2</vt:lpstr>
      <vt:lpstr>Actual3</vt:lpstr>
      <vt:lpstr>Actual4</vt:lpstr>
      <vt:lpstr>Actual5</vt:lpstr>
      <vt:lpstr>Actual6</vt:lpstr>
      <vt:lpstr>Actual7</vt:lpstr>
      <vt:lpstr>Actual8</vt:lpstr>
      <vt:lpstr>Actual9</vt:lpstr>
      <vt:lpstr>BudgetYear</vt:lpstr>
      <vt:lpstr>CalendarYear</vt:lpstr>
      <vt:lpstr>KeyCustom1</vt:lpstr>
      <vt:lpstr>KeyCustom1Label</vt:lpstr>
      <vt:lpstr>KeyCustom2</vt:lpstr>
      <vt:lpstr>KeyCustom2Label</vt:lpstr>
      <vt:lpstr>KeyPersonal</vt:lpstr>
      <vt:lpstr>KeyPersonalLabel</vt:lpstr>
      <vt:lpstr>KeySick</vt:lpstr>
      <vt:lpstr>KeySickLabel</vt:lpstr>
      <vt:lpstr>KeyVacation</vt:lpstr>
      <vt:lpstr>KeyVacationLabel</vt:lpstr>
      <vt:lpstr>February!MonthName</vt:lpstr>
      <vt:lpstr>January!MonthName</vt:lpstr>
      <vt:lpstr>period_selected</vt:lpstr>
      <vt:lpstr>'Expenses (2)'!Print_Area</vt:lpstr>
      <vt:lpstr>'Channel Marketing Budget'!Print_Titles</vt:lpstr>
      <vt:lpstr>'Family Budget'!Print_Titles</vt:lpstr>
      <vt:lpstr>Projected1</vt:lpstr>
      <vt:lpstr>Projected10</vt:lpstr>
      <vt:lpstr>Projected11</vt:lpstr>
      <vt:lpstr>Projected12</vt:lpstr>
      <vt:lpstr>Projected13</vt:lpstr>
      <vt:lpstr>Projected2</vt:lpstr>
      <vt:lpstr>Projected3</vt:lpstr>
      <vt:lpstr>Projected4</vt:lpstr>
      <vt:lpstr>Projected5</vt:lpstr>
      <vt:lpstr>Projected6</vt:lpstr>
      <vt:lpstr>Projected7</vt:lpstr>
      <vt:lpstr>Projected8</vt:lpstr>
      <vt:lpstr>Projected9</vt:lpstr>
    </vt:vector>
  </TitlesOfParts>
  <Company>GroupM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Hasan Yogurtcu</dc:creator>
  <cp:lastModifiedBy>Hasan Yogurtcu</cp:lastModifiedBy>
  <dcterms:created xsi:type="dcterms:W3CDTF">2015-04-04T11:07:52Z</dcterms:created>
  <dcterms:modified xsi:type="dcterms:W3CDTF">2015-04-04T11:31:50Z</dcterms:modified>
</cp:coreProperties>
</file>